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hidePivotFieldList="1"/>
  <xr:revisionPtr revIDLastSave="170" documentId="8_{A9198C00-BA6F-4D73-9B1E-D297FF4103B0}" xr6:coauthVersionLast="47" xr6:coauthVersionMax="47" xr10:uidLastSave="{8AC98112-71E9-4870-9F24-6647D5326009}"/>
  <bookViews>
    <workbookView xWindow="-28920" yWindow="-120" windowWidth="29040" windowHeight="15720" tabRatio="853" xr2:uid="{00000000-000D-0000-FFFF-FFFF00000000}"/>
  </bookViews>
  <sheets>
    <sheet name="Cash Book" sheetId="3" r:id="rId1"/>
    <sheet name="Bank reconciliation" sheetId="10" r:id="rId2"/>
    <sheet name="Income" sheetId="4" r:id="rId3"/>
    <sheet name="YTD BUDGET SUMMARY" sheetId="1" r:id="rId4"/>
    <sheet name="MONTHLY EXPENSES SUMMARY" sheetId="2" r:id="rId5"/>
  </sheets>
  <externalReferences>
    <externalReference r:id="rId6"/>
  </externalReferences>
  <definedNames>
    <definedName name="_YEAR">'YTD BUDGET SUMMARY'!$G$2</definedName>
    <definedName name="_xlnm.Print_Area" localSheetId="0">'Cash Book'!$B$2:$K$59</definedName>
    <definedName name="_xlnm.Print_Area" localSheetId="2">Income!$B$1:$H$23</definedName>
    <definedName name="_xlnm.Print_Area" localSheetId="4">'MONTHLY EXPENSES SUMMARY'!$B$2:$P$28</definedName>
    <definedName name="_xlnm.Print_Area" localSheetId="3">'YTD BUDGET SUMMARY'!$B$2:$I$26</definedName>
    <definedName name="_xlnm.Print_Titles" localSheetId="0">'Cash Book'!$4:$4</definedName>
    <definedName name="_xlnm.Print_Titles" localSheetId="2">Income!$4:$4</definedName>
    <definedName name="_xlnm.Print_Titles" localSheetId="4">'MONTHLY EXPENSES SUMMARY'!$6:$6</definedName>
    <definedName name="_xlnm.Print_Titles" localSheetId="3">'YTD BUDGET SUMMARY'!$4:$4</definedName>
    <definedName name="RowTitleRegion1..G2">'YTD BUDGET SUMMARY'!$H$2</definedName>
    <definedName name="Title1">YearToDateTable[[#Headers],[Nom Code]]</definedName>
    <definedName name="Title2">#REF!</definedName>
    <definedName name="Title3">ItemizedExpenses[[#Headers],[Nom Code]]</definedName>
    <definedName name="Title4">Other[[#Headers],[Folio]]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O28" i="2" l="1"/>
  <c r="L28" i="2"/>
  <c r="I28" i="2"/>
  <c r="H28" i="2"/>
  <c r="K28" i="2" s="1"/>
  <c r="N28" i="2" s="1"/>
  <c r="F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N7" i="2"/>
  <c r="D26" i="1" l="1"/>
  <c r="G24" i="1"/>
  <c r="F24" i="1"/>
  <c r="E24" i="1"/>
  <c r="D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G43" i="10" l="1"/>
  <c r="G38" i="10"/>
  <c r="G25" i="10"/>
  <c r="G45" i="10" s="1"/>
  <c r="J22" i="3" l="1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42" i="3" l="1"/>
  <c r="J43" i="3"/>
  <c r="J36" i="3"/>
  <c r="J37" i="3"/>
  <c r="J38" i="3"/>
  <c r="J39" i="3"/>
  <c r="J35" i="3"/>
  <c r="J10" i="3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2" i="3"/>
  <c r="J33" i="3"/>
  <c r="J34" i="3"/>
  <c r="J40" i="3"/>
  <c r="J41" i="3"/>
  <c r="F1" i="4" l="1"/>
  <c r="J6" i="3" l="1"/>
  <c r="J7" i="3"/>
  <c r="J8" i="3"/>
  <c r="J9" i="3"/>
  <c r="J5" i="3"/>
  <c r="H3" i="3" l="1"/>
  <c r="O4" i="2"/>
  <c r="N4" i="2"/>
  <c r="M4" i="2"/>
  <c r="M5" i="2" l="1"/>
  <c r="M18" i="2" s="1"/>
  <c r="M17" i="2"/>
  <c r="M19" i="2"/>
  <c r="M7" i="2"/>
  <c r="M21" i="2"/>
  <c r="M8" i="2"/>
  <c r="M22" i="2"/>
  <c r="M9" i="2"/>
  <c r="M23" i="2"/>
  <c r="M24" i="2"/>
  <c r="M10" i="2"/>
  <c r="M26" i="2"/>
  <c r="M13" i="2"/>
  <c r="M14" i="2"/>
  <c r="M15" i="2"/>
  <c r="M16" i="2"/>
  <c r="M12" i="2"/>
  <c r="M25" i="2"/>
  <c r="M11" i="2"/>
  <c r="N5" i="2"/>
  <c r="N23" i="2" s="1"/>
  <c r="N22" i="2"/>
  <c r="O5" i="2"/>
  <c r="O19" i="2" s="1"/>
  <c r="H1" i="3"/>
  <c r="K4" i="2"/>
  <c r="N21" i="2" l="1"/>
  <c r="N12" i="2"/>
  <c r="N19" i="2"/>
  <c r="N13" i="2"/>
  <c r="N25" i="2"/>
  <c r="N9" i="2"/>
  <c r="N17" i="2"/>
  <c r="M20" i="2"/>
  <c r="N20" i="2"/>
  <c r="N26" i="2"/>
  <c r="N18" i="2"/>
  <c r="N10" i="2"/>
  <c r="N16" i="2"/>
  <c r="N8" i="2"/>
  <c r="N15" i="2"/>
  <c r="N14" i="2"/>
  <c r="O16" i="2"/>
  <c r="O15" i="2"/>
  <c r="O26" i="2"/>
  <c r="O11" i="2"/>
  <c r="K5" i="2"/>
  <c r="K11" i="2" s="1"/>
  <c r="K19" i="2"/>
  <c r="K7" i="2"/>
  <c r="K22" i="2"/>
  <c r="K24" i="2"/>
  <c r="O23" i="2"/>
  <c r="O24" i="2"/>
  <c r="O10" i="2"/>
  <c r="O9" i="2"/>
  <c r="O8" i="2"/>
  <c r="O22" i="2"/>
  <c r="O13" i="2"/>
  <c r="O14" i="2"/>
  <c r="O12" i="2"/>
  <c r="O21" i="2"/>
  <c r="O25" i="2"/>
  <c r="O7" i="2"/>
  <c r="N24" i="2"/>
  <c r="O18" i="2"/>
  <c r="O20" i="2"/>
  <c r="N11" i="2"/>
  <c r="O17" i="2"/>
  <c r="I4" i="2"/>
  <c r="G4" i="2"/>
  <c r="D4" i="2"/>
  <c r="J4" i="2"/>
  <c r="F4" i="2"/>
  <c r="E4" i="2"/>
  <c r="H4" i="2"/>
  <c r="L4" i="2"/>
  <c r="K15" i="2" l="1"/>
  <c r="K10" i="2"/>
  <c r="K23" i="2"/>
  <c r="K8" i="2"/>
  <c r="K17" i="2"/>
  <c r="K18" i="2"/>
  <c r="K14" i="2"/>
  <c r="K13" i="2"/>
  <c r="K12" i="2"/>
  <c r="K9" i="2"/>
  <c r="K20" i="2"/>
  <c r="L5" i="2"/>
  <c r="L12" i="2" s="1"/>
  <c r="L22" i="2"/>
  <c r="H5" i="2"/>
  <c r="H14" i="2" s="1"/>
  <c r="K21" i="2"/>
  <c r="K16" i="2"/>
  <c r="E5" i="2"/>
  <c r="E13" i="2" s="1"/>
  <c r="E9" i="2"/>
  <c r="E23" i="2"/>
  <c r="E10" i="2"/>
  <c r="E12" i="2"/>
  <c r="E24" i="2"/>
  <c r="E17" i="2"/>
  <c r="F5" i="2"/>
  <c r="F24" i="2" s="1"/>
  <c r="F23" i="2"/>
  <c r="F10" i="2"/>
  <c r="F21" i="2"/>
  <c r="F8" i="2"/>
  <c r="J5" i="2"/>
  <c r="J23" i="2" s="1"/>
  <c r="J12" i="2"/>
  <c r="J26" i="2"/>
  <c r="J13" i="2"/>
  <c r="J22" i="2"/>
  <c r="J9" i="2"/>
  <c r="K26" i="2"/>
  <c r="D5" i="2"/>
  <c r="D22" i="2" s="1"/>
  <c r="D8" i="2"/>
  <c r="D19" i="2"/>
  <c r="G15" i="2"/>
  <c r="G16" i="2"/>
  <c r="G19" i="2"/>
  <c r="G23" i="2"/>
  <c r="K25" i="2"/>
  <c r="I5" i="2"/>
  <c r="I14" i="2" s="1"/>
  <c r="I13" i="2"/>
  <c r="I25" i="2"/>
  <c r="I12" i="2"/>
  <c r="G5" i="2"/>
  <c r="G17" i="2" s="1"/>
  <c r="L24" i="2" l="1"/>
  <c r="E22" i="2"/>
  <c r="G12" i="2"/>
  <c r="E18" i="2"/>
  <c r="I26" i="2"/>
  <c r="G25" i="2"/>
  <c r="J18" i="2"/>
  <c r="E16" i="2"/>
  <c r="L9" i="2"/>
  <c r="J17" i="2"/>
  <c r="L21" i="2"/>
  <c r="J16" i="2"/>
  <c r="H24" i="2"/>
  <c r="L7" i="2"/>
  <c r="G20" i="2"/>
  <c r="J7" i="2"/>
  <c r="E7" i="2"/>
  <c r="H10" i="2"/>
  <c r="L20" i="2"/>
  <c r="L11" i="2"/>
  <c r="L10" i="2"/>
  <c r="J20" i="2"/>
  <c r="L15" i="2"/>
  <c r="E8" i="2"/>
  <c r="J15" i="2"/>
  <c r="E26" i="2"/>
  <c r="H23" i="2"/>
  <c r="L19" i="2"/>
  <c r="L17" i="2"/>
  <c r="G13" i="2"/>
  <c r="G26" i="2"/>
  <c r="J21" i="2"/>
  <c r="L8" i="2"/>
  <c r="G14" i="2"/>
  <c r="J19" i="2"/>
  <c r="L25" i="2"/>
  <c r="E21" i="2"/>
  <c r="G18" i="2"/>
  <c r="G10" i="2"/>
  <c r="J8" i="2"/>
  <c r="J14" i="2"/>
  <c r="E25" i="2"/>
  <c r="H13" i="2"/>
  <c r="L18" i="2"/>
  <c r="E11" i="2"/>
  <c r="H26" i="2"/>
  <c r="L23" i="2"/>
  <c r="D18" i="2"/>
  <c r="H12" i="2"/>
  <c r="I24" i="2"/>
  <c r="D15" i="2"/>
  <c r="F20" i="2"/>
  <c r="H9" i="2"/>
  <c r="H25" i="2"/>
  <c r="D16" i="2"/>
  <c r="I10" i="2"/>
  <c r="D12" i="2"/>
  <c r="D25" i="2"/>
  <c r="H20" i="2"/>
  <c r="H19" i="2"/>
  <c r="I11" i="2"/>
  <c r="F17" i="2"/>
  <c r="H22" i="2"/>
  <c r="F15" i="2"/>
  <c r="I9" i="2"/>
  <c r="I22" i="2"/>
  <c r="G24" i="2"/>
  <c r="D23" i="2"/>
  <c r="J25" i="2"/>
  <c r="F18" i="2"/>
  <c r="E20" i="2"/>
  <c r="I7" i="2"/>
  <c r="I17" i="2"/>
  <c r="G8" i="2"/>
  <c r="D17" i="2"/>
  <c r="D24" i="2"/>
  <c r="J11" i="2"/>
  <c r="F19" i="2"/>
  <c r="F26" i="2"/>
  <c r="E19" i="2"/>
  <c r="H17" i="2"/>
  <c r="L14" i="2"/>
  <c r="L16" i="2"/>
  <c r="D26" i="2"/>
  <c r="H8" i="2"/>
  <c r="H21" i="2"/>
  <c r="G9" i="2"/>
  <c r="F25" i="2"/>
  <c r="G22" i="2"/>
  <c r="H18" i="2"/>
  <c r="I8" i="2"/>
  <c r="G21" i="2"/>
  <c r="D14" i="2"/>
  <c r="J24" i="2"/>
  <c r="F16" i="2"/>
  <c r="F12" i="2"/>
  <c r="E15" i="2"/>
  <c r="H16" i="2"/>
  <c r="L13" i="2"/>
  <c r="I21" i="2"/>
  <c r="G7" i="2"/>
  <c r="D9" i="2"/>
  <c r="F9" i="2"/>
  <c r="F11" i="2"/>
  <c r="E14" i="2"/>
  <c r="H7" i="2"/>
  <c r="H15" i="2"/>
  <c r="L26" i="2"/>
  <c r="F7" i="2"/>
  <c r="D13" i="2"/>
  <c r="I23" i="2"/>
  <c r="F14" i="2"/>
  <c r="F13" i="2"/>
  <c r="I20" i="2"/>
  <c r="G11" i="2"/>
  <c r="D11" i="2"/>
  <c r="I18" i="2"/>
  <c r="I16" i="2"/>
  <c r="D10" i="2"/>
  <c r="I15" i="2"/>
  <c r="D7" i="2"/>
  <c r="J10" i="2"/>
  <c r="I19" i="2"/>
  <c r="D20" i="2"/>
  <c r="F22" i="2"/>
  <c r="H11" i="2"/>
  <c r="K1" i="3"/>
  <c r="J1" i="3" l="1"/>
</calcChain>
</file>

<file path=xl/sharedStrings.xml><?xml version="1.0" encoding="utf-8"?>
<sst xmlns="http://schemas.openxmlformats.org/spreadsheetml/2006/main" count="487" uniqueCount="191">
  <si>
    <t>Stanton Fitzwarren Parish Council CASH BOOK 2024-2025</t>
  </si>
  <si>
    <t>31st March 2025</t>
  </si>
  <si>
    <t>RUNNING TOTAL</t>
  </si>
  <si>
    <t>Payment Date on card or when cheque written</t>
  </si>
  <si>
    <t>Payment Type</t>
  </si>
  <si>
    <t>Payee</t>
  </si>
  <si>
    <t>Nom Code</t>
  </si>
  <si>
    <t>Category</t>
  </si>
  <si>
    <t>Sub Category</t>
  </si>
  <si>
    <t>Total Amount</t>
  </si>
  <si>
    <t>VAT</t>
  </si>
  <si>
    <t>VAT Total</t>
  </si>
  <si>
    <t>Notes</t>
  </si>
  <si>
    <t>Debit Card</t>
  </si>
  <si>
    <t>Swindon Borough Council</t>
  </si>
  <si>
    <t>Play Area &amp; Village Upkeep</t>
  </si>
  <si>
    <t>Play Area Rent to SBC</t>
  </si>
  <si>
    <t>Play area rent</t>
  </si>
  <si>
    <t>Cheque</t>
  </si>
  <si>
    <t xml:space="preserve">Summer Watson </t>
  </si>
  <si>
    <t>Administration</t>
  </si>
  <si>
    <t>Clerk's Salary</t>
  </si>
  <si>
    <t>March+April</t>
  </si>
  <si>
    <t>Vision ICT</t>
  </si>
  <si>
    <t>Web Site/Data Protection/SSL</t>
  </si>
  <si>
    <t>IT</t>
  </si>
  <si>
    <t>Amazon</t>
  </si>
  <si>
    <t>Stationery/postage &amp; Books</t>
  </si>
  <si>
    <t>Stationary</t>
  </si>
  <si>
    <t>Willow Gardening</t>
  </si>
  <si>
    <t xml:space="preserve">Village grounds &amp; maintenance </t>
  </si>
  <si>
    <t xml:space="preserve">Grass cutting </t>
  </si>
  <si>
    <t>Clear Insurance</t>
  </si>
  <si>
    <t>Insurance</t>
  </si>
  <si>
    <t>WALC</t>
  </si>
  <si>
    <t>Subscriptions</t>
  </si>
  <si>
    <t xml:space="preserve">Renewal </t>
  </si>
  <si>
    <t xml:space="preserve">Vision ICT </t>
  </si>
  <si>
    <t>Training, travel &amp; Compliance</t>
  </si>
  <si>
    <t>Webinar</t>
  </si>
  <si>
    <t>Clerk May+June salary</t>
  </si>
  <si>
    <t>Audit</t>
  </si>
  <si>
    <t>Gift for auditor</t>
  </si>
  <si>
    <t>Tom Charnock (Exps)</t>
  </si>
  <si>
    <t>Hedge cutting</t>
  </si>
  <si>
    <t xml:space="preserve"> </t>
  </si>
  <si>
    <t>Oak post</t>
  </si>
  <si>
    <t>Marcus Hewitt</t>
  </si>
  <si>
    <t xml:space="preserve">Play Area Repairs/Maintenance </t>
  </si>
  <si>
    <t>Playpark maintenance</t>
  </si>
  <si>
    <t>Direct Debit</t>
  </si>
  <si>
    <t>ICO</t>
  </si>
  <si>
    <t>Village Hall</t>
  </si>
  <si>
    <t>Community Support</t>
  </si>
  <si>
    <t>Village Hall Grant</t>
  </si>
  <si>
    <t xml:space="preserve">Grant </t>
  </si>
  <si>
    <t>Clerk July+Aug salary</t>
  </si>
  <si>
    <t xml:space="preserve">Grass Cutting </t>
  </si>
  <si>
    <t>Playsafety Ltd</t>
  </si>
  <si>
    <t>Play Area Inspection</t>
  </si>
  <si>
    <t xml:space="preserve">Inspection </t>
  </si>
  <si>
    <t xml:space="preserve">Clerk September salary </t>
  </si>
  <si>
    <t>Grass cutting</t>
  </si>
  <si>
    <t xml:space="preserve">Clerk October salary </t>
  </si>
  <si>
    <t>Stamps</t>
  </si>
  <si>
    <t>British Legion Poppy</t>
  </si>
  <si>
    <t>Donation</t>
  </si>
  <si>
    <t>Clerk Nov salary</t>
  </si>
  <si>
    <t xml:space="preserve">SLCC </t>
  </si>
  <si>
    <t xml:space="preserve">Trish White </t>
  </si>
  <si>
    <t>Jayne Price</t>
  </si>
  <si>
    <t>Section 137</t>
  </si>
  <si>
    <t>Xmas village event</t>
  </si>
  <si>
    <t>Amanda Shappard</t>
  </si>
  <si>
    <t>Clerk Dec salary</t>
  </si>
  <si>
    <t xml:space="preserve">Laptop for Clerk </t>
  </si>
  <si>
    <t xml:space="preserve">IT Data transfer </t>
  </si>
  <si>
    <t>Nick White</t>
  </si>
  <si>
    <t>Printer Ink Clerk</t>
  </si>
  <si>
    <t xml:space="preserve">Village Hall keys </t>
  </si>
  <si>
    <t>Vision ICT Ltd</t>
  </si>
  <si>
    <t>Training/Travel/Compliance</t>
  </si>
  <si>
    <t xml:space="preserve">Training-Q cancelled as lost in post </t>
  </si>
  <si>
    <t>Dave Tucker</t>
  </si>
  <si>
    <t>Moss Remover for play area</t>
  </si>
  <si>
    <t xml:space="preserve">Clerk salary Dec-joint working and handover </t>
  </si>
  <si>
    <t>Clerk salary Jan</t>
  </si>
  <si>
    <t>Tom Charnock</t>
  </si>
  <si>
    <t>Councillor Allowance</t>
  </si>
  <si>
    <t>24/25 Councillor Allowance</t>
  </si>
  <si>
    <t>Richard Codrington</t>
  </si>
  <si>
    <t>Steve Tomlin</t>
  </si>
  <si>
    <t xml:space="preserve">Clerk Salary Feb </t>
  </si>
  <si>
    <t xml:space="preserve">Clerk Salary March </t>
  </si>
  <si>
    <t>Play park caps and mould remover</t>
  </si>
  <si>
    <t>All Out Play Limited</t>
  </si>
  <si>
    <t>Play park repair and maint</t>
  </si>
  <si>
    <t>Website training replacement cheque as original lost in post</t>
  </si>
  <si>
    <t>Training</t>
  </si>
  <si>
    <t>Spoilt Cheque</t>
  </si>
  <si>
    <t>n/a</t>
  </si>
  <si>
    <t>Spoilt cheque-draft error</t>
  </si>
  <si>
    <t>Bank reconciliation – pro forma</t>
  </si>
  <si>
    <r>
      <t xml:space="preserve">This reconciliation should include </t>
    </r>
    <r>
      <rPr>
        <b/>
        <u/>
        <sz val="10.5"/>
        <color theme="1"/>
        <rFont val="Gill Sans MT"/>
        <family val="2"/>
        <scheme val="minor"/>
      </rPr>
      <t>all</t>
    </r>
    <r>
      <rPr>
        <sz val="10.5"/>
        <color theme="1"/>
        <rFont val="Gill Sans MT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Gill Sans MT"/>
        <family val="2"/>
        <scheme val="minor"/>
      </rPr>
      <t>must</t>
    </r>
    <r>
      <rPr>
        <sz val="10.5"/>
        <color theme="1"/>
        <rFont val="Gill Sans MT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</si>
  <si>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</si>
  <si>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>Stanton Fitzwarren Parish Council</t>
  </si>
  <si>
    <t xml:space="preserve">County area (local councils and parish meetings only): </t>
  </si>
  <si>
    <t>Financial year ending 31 March 20xx</t>
  </si>
  <si>
    <t>Prepared by (Name and Role):</t>
  </si>
  <si>
    <t>Trish White, Clerk and RFO</t>
  </si>
  <si>
    <t>Date:</t>
  </si>
  <si>
    <t>£</t>
  </si>
  <si>
    <t>Balance per bank statements as at 31/3/25:</t>
  </si>
  <si>
    <t>Current Account</t>
  </si>
  <si>
    <t xml:space="preserve">Deposit Account </t>
  </si>
  <si>
    <t>Petty cash float (if applicable)</t>
  </si>
  <si>
    <r>
      <t xml:space="preserve">Less: any unpresented cheques as at 31/3/25 </t>
    </r>
    <r>
      <rPr>
        <b/>
        <sz val="10.5"/>
        <color theme="1"/>
        <rFont val="Arial"/>
        <family val="2"/>
      </rPr>
      <t>(enter these as negative numbers)</t>
    </r>
  </si>
  <si>
    <t>Add: any un-banked cash as at 31/3/25</t>
  </si>
  <si>
    <t>Net balances as at 31/3/25 (Box 8)</t>
  </si>
  <si>
    <t xml:space="preserve">Date: </t>
  </si>
  <si>
    <t>Total</t>
  </si>
  <si>
    <t>Stanton Fitzwarren Parish Council INCOME 2024-2025</t>
  </si>
  <si>
    <t>Date</t>
  </si>
  <si>
    <t>Folio</t>
  </si>
  <si>
    <t>Description</t>
  </si>
  <si>
    <t>Amount</t>
  </si>
  <si>
    <t>Paid by</t>
  </si>
  <si>
    <t>Column1</t>
  </si>
  <si>
    <t>INC01</t>
  </si>
  <si>
    <t>Precept</t>
  </si>
  <si>
    <t>Payment 1</t>
  </si>
  <si>
    <t>SBC</t>
  </si>
  <si>
    <t>INC02</t>
  </si>
  <si>
    <t>INC03</t>
  </si>
  <si>
    <t>Bank Interest</t>
  </si>
  <si>
    <t>Interest</t>
  </si>
  <si>
    <t>Bank</t>
  </si>
  <si>
    <t>INC04</t>
  </si>
  <si>
    <t>INC05</t>
  </si>
  <si>
    <t>INC06</t>
  </si>
  <si>
    <t>VAT Reclaim</t>
  </si>
  <si>
    <t>INC07</t>
  </si>
  <si>
    <t>INC08</t>
  </si>
  <si>
    <t>INC09</t>
  </si>
  <si>
    <t>INC10</t>
  </si>
  <si>
    <t>INC11</t>
  </si>
  <si>
    <t>Payment 2</t>
  </si>
  <si>
    <t>INC12</t>
  </si>
  <si>
    <t>INC13</t>
  </si>
  <si>
    <t>INC14</t>
  </si>
  <si>
    <t>INC15</t>
  </si>
  <si>
    <t>INC16</t>
  </si>
  <si>
    <t xml:space="preserve">Bank Interest </t>
  </si>
  <si>
    <t>Appeared on statement after 2/3/25</t>
  </si>
  <si>
    <t>INC17</t>
  </si>
  <si>
    <t>INC18</t>
  </si>
  <si>
    <t>Stanton Fitzwarren Parish Council ACTUAL vs. BUDGET YTD 2024-2025</t>
  </si>
  <si>
    <t>Account Title</t>
  </si>
  <si>
    <t>BUDGET</t>
  </si>
  <si>
    <t>Actual</t>
  </si>
  <si>
    <t xml:space="preserve"> £ Used</t>
  </si>
  <si>
    <t>Budget Remaining</t>
  </si>
  <si>
    <t>Category % Used</t>
  </si>
  <si>
    <t>Handover and annual increase</t>
  </si>
  <si>
    <t>V.Hall Hire</t>
  </si>
  <si>
    <t>Parish Elections</t>
  </si>
  <si>
    <t>Councillor's Allowance</t>
  </si>
  <si>
    <t>New IT equipment</t>
  </si>
  <si>
    <t xml:space="preserve">Church/V-Hall maintenance </t>
  </si>
  <si>
    <t>Play park maintenance costs</t>
  </si>
  <si>
    <t>Additional maintenance work</t>
  </si>
  <si>
    <t>Litter Bins</t>
  </si>
  <si>
    <t>Earmarked Reserves (Defib)</t>
  </si>
  <si>
    <t>Total Budget 2024-2025</t>
  </si>
  <si>
    <t>Stanton Fitzwarren Parish Council MONTHLY EXPENSES SUMMARY 2024-2025</t>
  </si>
  <si>
    <t>Slicer to filter data by Account Titles is in this cell.</t>
  </si>
  <si>
    <t>Sub-Category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</si>
  <si>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</si>
  <si>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</si>
  <si>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</si>
  <si>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</si>
  <si>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</si>
  <si>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</si>
  <si>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</si>
  <si>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</si>
  <si>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</si>
  <si>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January</t>
  </si>
  <si>
    <t>February</t>
  </si>
  <si>
    <t>March</t>
  </si>
  <si>
    <t xml:space="preserve">Village Defibrillator </t>
  </si>
  <si>
    <t>Quarter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</si>
</sst>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7" formatCode="&quot;£&quot;#,##0.00;\-&quot;£&quot;#,##0.00"/>
    <numFmt numFmtId="164" formatCode="&quot;$&quot;#,##0.00_);\(&quot;$&quot;#,##0.00\)"/>
    <numFmt numFmtId="165" formatCode="&quot;$&quot;#,##0.00"/>
    <numFmt numFmtId="166" formatCode="0_);\(0\)"/>
    <numFmt numFmtId="167" formatCode="&quot;£&quot;#,##0.00"/>
    <numFmt numFmtId="168" formatCode="&quot;£&quot;#,##0.00_);\(&quot;£&quot;#,##0.00\)"/>
    <numFmt numFmtId="169" formatCode="0.0%"/>
    <numFmt numFmtId="170" formatCode="&quot;£&quot;#,##0.00_);[Red]\(&quot;£&quot;#,##0.00\)"/>
    <numFmt numFmtId="171" formatCode="&quot;£&quot;#,##0"/>
    <numFmt numFmtId="172" formatCode="_-* #,##0.0_-;\-* #,##0.0_-;_-* &quot;-&quot;??_-;_-@_-"/>
    <numFmt numFmtId="173" formatCode="#,##0.00;\(#,##0.00\)"/>
    <numFmt numFmtId="174" formatCode="#,##0.00_ ;\(#,##0.00\);_-* &quot;-&quot;??_-"/>
  </numFmts>
  <fonts count="39" x14ac:knownFonts="1">
    <font>
      <sz val="11"/>
      <color theme="1" tint="-0.24994659260841701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8"/>
      <color theme="1" tint="-0.24994659260841701"/>
      <name val="Gill Sans MT"/>
      <family val="2"/>
      <scheme val="major"/>
    </font>
    <font>
      <u/>
      <sz val="11"/>
      <color theme="10"/>
      <name val="Gill Sans MT"/>
      <family val="2"/>
      <scheme val="minor"/>
    </font>
    <font>
      <u/>
      <sz val="11"/>
      <color theme="0"/>
      <name val="Gill Sans MT"/>
      <family val="2"/>
      <scheme val="minor"/>
    </font>
    <font>
      <sz val="11"/>
      <color theme="1" tint="-0.24994659260841701"/>
      <name val="Gill Sans MT"/>
      <family val="2"/>
      <scheme val="minor"/>
    </font>
    <font>
      <sz val="11"/>
      <color theme="1" tint="-0.24994659260841701"/>
      <name val="Gill Sans MT"/>
      <family val="2"/>
    </font>
    <font>
      <sz val="11"/>
      <color theme="1" tint="-0.249977111117893"/>
      <name val="Gill Sans MT"/>
      <family val="2"/>
    </font>
    <font>
      <b/>
      <sz val="12"/>
      <color theme="1"/>
      <name val="Gill Sans MT"/>
      <family val="2"/>
    </font>
    <font>
      <b/>
      <sz val="12"/>
      <color theme="1" tint="-0.24994659260841701"/>
      <name val="Gill Sans MT"/>
      <family val="2"/>
    </font>
    <font>
      <sz val="30"/>
      <color theme="1" tint="-0.24994659260841701"/>
      <name val="Gill Sans MT"/>
      <family val="2"/>
    </font>
    <font>
      <b/>
      <sz val="11"/>
      <color theme="1" tint="-0.24994659260841701"/>
      <name val="Gill Sans MT"/>
      <family val="2"/>
      <scheme val="minor"/>
    </font>
    <font>
      <sz val="8"/>
      <name val="Gill Sans MT"/>
      <family val="2"/>
      <scheme val="minor"/>
    </font>
    <font>
      <sz val="26"/>
      <color theme="1" tint="-0.24994659260841701"/>
      <name val="Gill Sans MT"/>
      <family val="2"/>
    </font>
    <font>
      <b/>
      <sz val="12"/>
      <name val="Gill Sans MT"/>
      <family val="2"/>
    </font>
    <font>
      <b/>
      <sz val="12"/>
      <color theme="1" tint="-0.24994659260841701"/>
      <name val="Gill Sans MT"/>
      <family val="2"/>
      <scheme val="minor"/>
    </font>
    <font>
      <b/>
      <sz val="14"/>
      <name val="Gill Sans MT"/>
      <family val="2"/>
      <scheme val="minor"/>
    </font>
    <font>
      <b/>
      <sz val="11"/>
      <color theme="1" tint="-0.249977111117893"/>
      <name val="Gill Sans MT"/>
      <family val="2"/>
    </font>
    <font>
      <sz val="20"/>
      <color theme="1" tint="-0.24994659260841701"/>
      <name val="Gill Sans MT"/>
      <family val="2"/>
      <scheme val="minor"/>
    </font>
    <font>
      <b/>
      <sz val="20"/>
      <color theme="1" tint="-0.24994659260841701"/>
      <name val="Gill Sans MT"/>
      <family val="2"/>
    </font>
    <font>
      <sz val="12"/>
      <color theme="1" tint="-0.24994659260841701"/>
      <name val="Gill Sans MT"/>
      <family val="2"/>
      <scheme val="minor"/>
    </font>
    <font>
      <sz val="12"/>
      <name val="Gill Sans MT"/>
      <family val="2"/>
    </font>
    <font>
      <b/>
      <sz val="14"/>
      <color theme="1"/>
      <name val="Gill Sans MT"/>
      <family val="2"/>
    </font>
    <font>
      <b/>
      <sz val="14"/>
      <color theme="1" tint="-0.24994659260841701"/>
      <name val="Gill Sans MT"/>
      <family val="2"/>
    </font>
    <font>
      <b/>
      <sz val="16"/>
      <color theme="1" tint="-0.24994659260841701"/>
      <name val="Gill Sans MT"/>
      <family val="2"/>
    </font>
    <font>
      <sz val="10"/>
      <color theme="1" tint="-0.24994659260841701"/>
      <name val="Gill Sans MT"/>
      <family val="2"/>
      <scheme val="minor"/>
    </font>
    <font>
      <sz val="14"/>
      <color theme="1" tint="-0.24994659260841701"/>
      <name val="Gill Sans MT"/>
      <family val="2"/>
      <scheme val="minor"/>
    </font>
    <font>
      <b/>
      <sz val="11"/>
      <color theme="1" tint="-0.24994659260841701"/>
      <name val="Gill Sans MT"/>
      <family val="2"/>
    </font>
    <font>
      <b/>
      <sz val="14"/>
      <color theme="1" tint="-0.24994659260841701"/>
      <name val="Gill Sans MT"/>
      <family val="2"/>
      <scheme val="minor"/>
    </font>
    <font>
      <sz val="11"/>
      <color rgb="FF00B0F0"/>
      <name val="Gill Sans MT"/>
      <family val="2"/>
      <scheme val="minor"/>
    </font>
    <font>
      <sz val="11"/>
      <color rgb="FF002060"/>
      <name val="Gill Sans MT"/>
      <family val="2"/>
      <scheme val="minor"/>
    </font>
    <font>
      <b/>
      <sz val="9"/>
      <color indexed="8"/>
      <name val="Arial"/>
      <family val="2"/>
    </font>
    <font>
      <sz val="12"/>
      <color theme="1"/>
      <name val="Gill Sans MT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Gill Sans MT"/>
      <family val="2"/>
      <scheme val="minor"/>
    </font>
    <font>
      <b/>
      <u/>
      <sz val="10.5"/>
      <color theme="1"/>
      <name val="Gill Sans MT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F5E6"/>
        <bgColor indexed="64"/>
      </patternFill>
    </fill>
    <fill>
      <patternFill patternType="solid">
        <fgColor rgb="FFEEF5F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BD0BB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rgb="FFEBE6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darkGray">
        <fgColor indexed="9"/>
        <bgColor rgb="FFFFFF00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rgb="FF2F2F2F"/>
      </left>
      <right/>
      <top style="thin">
        <color rgb="FF2F2F2F"/>
      </top>
      <bottom style="thin">
        <color rgb="FF2F2F2F"/>
      </bottom>
      <diagonal/>
    </border>
    <border>
      <left/>
      <right/>
      <top style="thin">
        <color rgb="FF2F2F2F"/>
      </top>
      <bottom style="thin">
        <color rgb="FF2F2F2F"/>
      </bottom>
      <diagonal/>
    </border>
    <border>
      <left/>
      <right style="thin">
        <color rgb="FF2F2F2F"/>
      </right>
      <top style="thin">
        <color rgb="FF2F2F2F"/>
      </top>
      <bottom style="thin">
        <color rgb="FF2F2F2F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1" tint="0.79998168889431442"/>
      </bottom>
      <diagonal/>
    </border>
    <border>
      <left/>
      <right/>
      <top/>
      <bottom style="thin">
        <color rgb="FF2F2F2F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rgb="FF2F2F2F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7" tint="0.39994506668294322"/>
      </left>
      <right style="thin">
        <color theme="1" tint="0.79998168889431442"/>
      </right>
      <top style="thin">
        <color theme="1" tint="0.79998168889431442"/>
      </top>
      <bottom style="thin">
        <color theme="7" tint="0.3999450666829432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0" tint="-0.149998474074526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7999816888943144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 wrapText="1"/>
    </xf>
    <xf numFmtId="0" fontId="2" fillId="0" borderId="1" applyNumberFormat="0" applyFill="0" applyAlignment="0" applyProtection="0"/>
    <xf numFmtId="0" fontId="2" fillId="0" borderId="4" applyNumberFormat="0" applyFill="0" applyAlignment="0" applyProtection="0"/>
    <xf numFmtId="0" fontId="2" fillId="0" borderId="2" applyNumberFormat="0" applyFill="0" applyAlignment="0" applyProtection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>
      <alignment vertical="center" wrapText="1"/>
    </xf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5" fillId="0" borderId="0">
      <alignment horizontal="right" vertical="center" wrapText="1"/>
    </xf>
  </cellStyleXfs>
  <cellXfs count="256">
    <xf numFmtId="0" fontId="0" fillId="0" borderId="0" xfId="0">
      <alignment vertical="center" wrapText="1"/>
    </xf>
    <xf numFmtId="14" fontId="1" fillId="0" borderId="0" xfId="0" applyNumberFormat="1" applyFont="1">
      <alignment vertical="center" wrapText="1"/>
    </xf>
    <xf numFmtId="0" fontId="1" fillId="0" borderId="0" xfId="0" applyFont="1">
      <alignment vertical="center" wrapText="1"/>
    </xf>
    <xf numFmtId="0" fontId="4" fillId="0" borderId="0" xfId="5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7" fillId="2" borderId="5" xfId="6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 indent="2"/>
    </xf>
    <xf numFmtId="0" fontId="8" fillId="4" borderId="5" xfId="0" applyFont="1" applyFill="1" applyBorder="1" applyAlignment="1">
      <alignment horizontal="center" vertical="center" wrapText="1"/>
    </xf>
    <xf numFmtId="166" fontId="7" fillId="3" borderId="8" xfId="6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14" fontId="6" fillId="3" borderId="7" xfId="9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6" fillId="3" borderId="5" xfId="9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7" fillId="3" borderId="12" xfId="6" applyFont="1" applyFill="1" applyBorder="1" applyAlignment="1">
      <alignment horizontal="center" vertical="center"/>
    </xf>
    <xf numFmtId="14" fontId="7" fillId="3" borderId="12" xfId="9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7" fontId="8" fillId="4" borderId="5" xfId="0" applyNumberFormat="1" applyFont="1" applyFill="1" applyBorder="1" applyAlignment="1">
      <alignment horizontal="center" vertical="center" wrapText="1"/>
    </xf>
    <xf numFmtId="168" fontId="7" fillId="2" borderId="5" xfId="7" applyNumberFormat="1" applyFont="1" applyFill="1" applyBorder="1" applyAlignment="1">
      <alignment horizontal="center" vertical="center" wrapText="1"/>
    </xf>
    <xf numFmtId="169" fontId="7" fillId="2" borderId="5" xfId="8" applyNumberFormat="1" applyFont="1" applyFill="1" applyBorder="1" applyAlignment="1">
      <alignment horizontal="center" vertical="center" wrapText="1"/>
    </xf>
    <xf numFmtId="169" fontId="8" fillId="4" borderId="5" xfId="0" applyNumberFormat="1" applyFont="1" applyFill="1" applyBorder="1" applyAlignment="1">
      <alignment horizontal="center" vertical="center" wrapText="1"/>
    </xf>
    <xf numFmtId="169" fontId="7" fillId="0" borderId="15" xfId="8" applyNumberFormat="1" applyFont="1" applyFill="1" applyBorder="1" applyAlignment="1">
      <alignment horizontal="center" vertical="center" wrapText="1"/>
    </xf>
    <xf numFmtId="169" fontId="7" fillId="0" borderId="16" xfId="8" applyNumberFormat="1" applyFont="1" applyFill="1" applyBorder="1" applyAlignment="1">
      <alignment horizontal="center" vertical="center" wrapText="1"/>
    </xf>
    <xf numFmtId="169" fontId="7" fillId="0" borderId="17" xfId="8" applyNumberFormat="1" applyFont="1" applyFill="1" applyBorder="1" applyAlignment="1">
      <alignment horizontal="center" vertical="center" wrapText="1"/>
    </xf>
    <xf numFmtId="0" fontId="0" fillId="0" borderId="18" xfId="0" applyBorder="1">
      <alignment vertical="center" wrapText="1"/>
    </xf>
    <xf numFmtId="166" fontId="6" fillId="3" borderId="5" xfId="6" applyFont="1" applyFill="1" applyBorder="1" applyAlignment="1">
      <alignment horizontal="center" vertical="center" wrapText="1"/>
    </xf>
    <xf numFmtId="166" fontId="6" fillId="3" borderId="6" xfId="6" applyFont="1" applyFill="1" applyBorder="1" applyAlignment="1">
      <alignment horizontal="center" vertical="center" wrapText="1"/>
    </xf>
    <xf numFmtId="14" fontId="6" fillId="3" borderId="6" xfId="9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7" fontId="6" fillId="3" borderId="7" xfId="0" quotePrefix="1" applyNumberFormat="1" applyFont="1" applyFill="1" applyBorder="1" applyAlignment="1">
      <alignment horizontal="center" vertical="center" wrapText="1"/>
    </xf>
    <xf numFmtId="0" fontId="6" fillId="3" borderId="5" xfId="0" quotePrefix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4" borderId="0" xfId="4" applyFont="1" applyFill="1" applyBorder="1" applyAlignment="1">
      <alignment vertical="center"/>
    </xf>
    <xf numFmtId="170" fontId="7" fillId="2" borderId="6" xfId="7" applyNumberFormat="1" applyFont="1" applyFill="1" applyBorder="1" applyAlignment="1">
      <alignment horizontal="right" vertical="center" wrapText="1"/>
    </xf>
    <xf numFmtId="170" fontId="8" fillId="4" borderId="5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 wrapText="1"/>
    </xf>
    <xf numFmtId="0" fontId="6" fillId="2" borderId="0" xfId="0" applyFont="1" applyFill="1">
      <alignment vertical="center" wrapText="1"/>
    </xf>
    <xf numFmtId="0" fontId="10" fillId="4" borderId="0" xfId="3" applyFont="1" applyFill="1" applyBorder="1" applyAlignment="1">
      <alignment vertical="center"/>
    </xf>
    <xf numFmtId="0" fontId="13" fillId="4" borderId="0" xfId="3" applyFont="1" applyFill="1" applyBorder="1" applyAlignment="1">
      <alignment vertical="center"/>
    </xf>
    <xf numFmtId="166" fontId="7" fillId="6" borderId="5" xfId="6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wrapText="1" indent="2"/>
    </xf>
    <xf numFmtId="168" fontId="7" fillId="6" borderId="5" xfId="7" applyNumberFormat="1" applyFont="1" applyFill="1" applyBorder="1" applyAlignment="1">
      <alignment horizontal="center" vertical="center" wrapText="1"/>
    </xf>
    <xf numFmtId="169" fontId="7" fillId="6" borderId="5" xfId="8" applyNumberFormat="1" applyFont="1" applyFill="1" applyBorder="1" applyAlignment="1">
      <alignment horizontal="center" vertical="center" wrapText="1"/>
    </xf>
    <xf numFmtId="166" fontId="7" fillId="6" borderId="6" xfId="6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 wrapText="1" indent="2"/>
    </xf>
    <xf numFmtId="168" fontId="7" fillId="6" borderId="6" xfId="7" applyNumberFormat="1" applyFont="1" applyFill="1" applyBorder="1" applyAlignment="1">
      <alignment horizontal="center" vertical="center" wrapText="1"/>
    </xf>
    <xf numFmtId="169" fontId="7" fillId="6" borderId="6" xfId="8" applyNumberFormat="1" applyFont="1" applyFill="1" applyBorder="1" applyAlignment="1">
      <alignment horizontal="center" vertical="center" wrapText="1"/>
    </xf>
    <xf numFmtId="166" fontId="7" fillId="7" borderId="5" xfId="6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 wrapText="1" indent="2"/>
    </xf>
    <xf numFmtId="168" fontId="7" fillId="7" borderId="5" xfId="7" applyNumberFormat="1" applyFont="1" applyFill="1" applyBorder="1" applyAlignment="1">
      <alignment horizontal="center" vertical="center" wrapText="1"/>
    </xf>
    <xf numFmtId="169" fontId="7" fillId="7" borderId="14" xfId="8" applyNumberFormat="1" applyFont="1" applyFill="1" applyBorder="1" applyAlignment="1">
      <alignment horizontal="center" vertical="center" wrapText="1"/>
    </xf>
    <xf numFmtId="166" fontId="7" fillId="8" borderId="7" xfId="6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 wrapText="1" indent="2"/>
    </xf>
    <xf numFmtId="0" fontId="7" fillId="8" borderId="5" xfId="0" applyFont="1" applyFill="1" applyBorder="1" applyAlignment="1">
      <alignment horizontal="left" vertical="center" wrapText="1" indent="2"/>
    </xf>
    <xf numFmtId="168" fontId="7" fillId="8" borderId="7" xfId="7" applyNumberFormat="1" applyFont="1" applyFill="1" applyBorder="1" applyAlignment="1">
      <alignment horizontal="center" vertical="center" wrapText="1"/>
    </xf>
    <xf numFmtId="169" fontId="7" fillId="8" borderId="7" xfId="8" applyNumberFormat="1" applyFont="1" applyFill="1" applyBorder="1" applyAlignment="1">
      <alignment horizontal="center" vertical="center" wrapText="1"/>
    </xf>
    <xf numFmtId="166" fontId="7" fillId="8" borderId="5" xfId="6" applyFont="1" applyFill="1" applyBorder="1" applyAlignment="1">
      <alignment horizontal="center" vertical="center"/>
    </xf>
    <xf numFmtId="168" fontId="7" fillId="8" borderId="5" xfId="7" applyNumberFormat="1" applyFont="1" applyFill="1" applyBorder="1" applyAlignment="1">
      <alignment horizontal="center" vertical="center" wrapText="1"/>
    </xf>
    <xf numFmtId="169" fontId="7" fillId="8" borderId="5" xfId="8" applyNumberFormat="1" applyFont="1" applyFill="1" applyBorder="1" applyAlignment="1">
      <alignment horizontal="center" vertical="center" wrapText="1"/>
    </xf>
    <xf numFmtId="171" fontId="8" fillId="4" borderId="5" xfId="0" applyNumberFormat="1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13" borderId="22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170" fontId="7" fillId="6" borderId="6" xfId="7" applyNumberFormat="1" applyFont="1" applyFill="1" applyBorder="1" applyAlignment="1">
      <alignment horizontal="left" vertical="center" wrapText="1"/>
    </xf>
    <xf numFmtId="170" fontId="7" fillId="7" borderId="6" xfId="7" applyNumberFormat="1" applyFont="1" applyFill="1" applyBorder="1" applyAlignment="1">
      <alignment horizontal="left" vertical="center" wrapText="1"/>
    </xf>
    <xf numFmtId="170" fontId="7" fillId="8" borderId="7" xfId="7" applyNumberFormat="1" applyFont="1" applyFill="1" applyBorder="1" applyAlignment="1">
      <alignment horizontal="left" vertical="center" wrapText="1"/>
    </xf>
    <xf numFmtId="170" fontId="7" fillId="8" borderId="5" xfId="7" applyNumberFormat="1" applyFont="1" applyFill="1" applyBorder="1" applyAlignment="1">
      <alignment horizontal="left" vertical="center" wrapText="1"/>
    </xf>
    <xf numFmtId="170" fontId="7" fillId="6" borderId="5" xfId="7" applyNumberFormat="1" applyFont="1" applyFill="1" applyBorder="1" applyAlignment="1">
      <alignment horizontal="left" vertical="center" wrapText="1"/>
    </xf>
    <xf numFmtId="168" fontId="17" fillId="8" borderId="7" xfId="7" applyNumberFormat="1" applyFont="1" applyFill="1" applyBorder="1" applyAlignment="1">
      <alignment horizontal="center" vertical="center" wrapText="1"/>
    </xf>
    <xf numFmtId="168" fontId="17" fillId="8" borderId="5" xfId="7" applyNumberFormat="1" applyFont="1" applyFill="1" applyBorder="1" applyAlignment="1">
      <alignment horizontal="center" vertical="center" wrapText="1"/>
    </xf>
    <xf numFmtId="168" fontId="17" fillId="6" borderId="5" xfId="7" applyNumberFormat="1" applyFont="1" applyFill="1" applyBorder="1" applyAlignment="1">
      <alignment horizontal="center" vertical="center" wrapText="1"/>
    </xf>
    <xf numFmtId="168" fontId="17" fillId="6" borderId="6" xfId="7" applyNumberFormat="1" applyFont="1" applyFill="1" applyBorder="1" applyAlignment="1">
      <alignment horizontal="center" vertical="center" wrapText="1"/>
    </xf>
    <xf numFmtId="168" fontId="17" fillId="7" borderId="5" xfId="7" applyNumberFormat="1" applyFont="1" applyFill="1" applyBorder="1" applyAlignment="1">
      <alignment horizontal="center" vertical="center" wrapText="1"/>
    </xf>
    <xf numFmtId="168" fontId="17" fillId="2" borderId="5" xfId="7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 wrapText="1"/>
    </xf>
    <xf numFmtId="0" fontId="19" fillId="4" borderId="0" xfId="4" applyFont="1" applyFill="1" applyBorder="1" applyAlignment="1">
      <alignment vertical="center"/>
    </xf>
    <xf numFmtId="0" fontId="20" fillId="2" borderId="0" xfId="0" applyFont="1" applyFill="1">
      <alignment vertical="center" wrapText="1"/>
    </xf>
    <xf numFmtId="0" fontId="15" fillId="2" borderId="0" xfId="0" applyFont="1" applyFill="1">
      <alignment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14" fillId="14" borderId="10" xfId="0" applyFont="1" applyFill="1" applyBorder="1" applyAlignment="1">
      <alignment horizontal="left" vertical="center" wrapText="1" indent="2"/>
    </xf>
    <xf numFmtId="0" fontId="14" fillId="14" borderId="10" xfId="0" applyFont="1" applyFill="1" applyBorder="1" applyAlignment="1">
      <alignment horizontal="center" vertical="center" wrapText="1"/>
    </xf>
    <xf numFmtId="0" fontId="14" fillId="14" borderId="11" xfId="0" applyFont="1" applyFill="1" applyBorder="1">
      <alignment vertical="center" wrapText="1"/>
    </xf>
    <xf numFmtId="0" fontId="14" fillId="14" borderId="10" xfId="0" applyFont="1" applyFill="1" applyBorder="1" applyAlignment="1">
      <alignment horizontal="left" vertical="center" wrapText="1"/>
    </xf>
    <xf numFmtId="0" fontId="21" fillId="14" borderId="13" xfId="0" applyFont="1" applyFill="1" applyBorder="1">
      <alignment vertical="center" wrapText="1"/>
    </xf>
    <xf numFmtId="169" fontId="17" fillId="0" borderId="16" xfId="8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168" fontId="16" fillId="9" borderId="0" xfId="0" applyNumberFormat="1" applyFont="1" applyFill="1" applyAlignment="1">
      <alignment horizontal="right" vertical="center" wrapText="1"/>
    </xf>
    <xf numFmtId="168" fontId="16" fillId="9" borderId="0" xfId="0" applyNumberFormat="1" applyFont="1" applyFill="1" applyAlignment="1">
      <alignment horizontal="center" vertical="center" wrapText="1"/>
    </xf>
    <xf numFmtId="7" fontId="7" fillId="0" borderId="0" xfId="0" applyNumberFormat="1" applyFont="1" applyAlignment="1">
      <alignment horizontal="center" vertical="center" wrapText="1"/>
    </xf>
    <xf numFmtId="7" fontId="7" fillId="3" borderId="12" xfId="6" applyNumberFormat="1" applyFont="1" applyFill="1" applyBorder="1" applyAlignment="1">
      <alignment horizontal="center" vertical="center" wrapText="1"/>
    </xf>
    <xf numFmtId="7" fontId="7" fillId="3" borderId="8" xfId="6" applyNumberFormat="1" applyFont="1" applyFill="1" applyBorder="1" applyAlignment="1">
      <alignment horizontal="center" vertical="center" wrapText="1"/>
    </xf>
    <xf numFmtId="0" fontId="24" fillId="4" borderId="0" xfId="4" applyFont="1" applyFill="1" applyBorder="1" applyAlignment="1">
      <alignment vertical="center"/>
    </xf>
    <xf numFmtId="166" fontId="6" fillId="2" borderId="24" xfId="6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166" fontId="6" fillId="0" borderId="26" xfId="6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166" fontId="6" fillId="2" borderId="26" xfId="6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168" fontId="6" fillId="2" borderId="24" xfId="7" applyNumberFormat="1" applyFont="1" applyFill="1" applyBorder="1" applyAlignment="1">
      <alignment horizontal="center" vertical="center" wrapText="1"/>
    </xf>
    <xf numFmtId="14" fontId="7" fillId="3" borderId="8" xfId="9" applyFont="1" applyFill="1" applyBorder="1" applyAlignment="1">
      <alignment horizontal="center" vertical="center" wrapText="1"/>
    </xf>
    <xf numFmtId="168" fontId="6" fillId="15" borderId="24" xfId="7" applyNumberFormat="1" applyFont="1" applyFill="1" applyBorder="1" applyAlignment="1">
      <alignment horizontal="center" vertical="center" wrapText="1"/>
    </xf>
    <xf numFmtId="168" fontId="6" fillId="15" borderId="7" xfId="7" applyNumberFormat="1" applyFont="1" applyFill="1" applyBorder="1" applyAlignment="1">
      <alignment horizontal="center" vertical="center" wrapText="1"/>
    </xf>
    <xf numFmtId="168" fontId="6" fillId="15" borderId="25" xfId="7" applyNumberFormat="1" applyFont="1" applyFill="1" applyBorder="1" applyAlignment="1">
      <alignment horizontal="center" vertical="center" wrapText="1"/>
    </xf>
    <xf numFmtId="168" fontId="6" fillId="15" borderId="26" xfId="7" applyNumberFormat="1" applyFont="1" applyFill="1" applyBorder="1" applyAlignment="1">
      <alignment horizontal="center" vertical="center" wrapText="1"/>
    </xf>
    <xf numFmtId="168" fontId="6" fillId="15" borderId="5" xfId="7" applyNumberFormat="1" applyFont="1" applyFill="1" applyBorder="1" applyAlignment="1">
      <alignment horizontal="center" vertical="center" wrapText="1"/>
    </xf>
    <xf numFmtId="168" fontId="6" fillId="15" borderId="27" xfId="7" applyNumberFormat="1" applyFont="1" applyFill="1" applyBorder="1" applyAlignment="1">
      <alignment horizontal="center" vertical="center" wrapText="1"/>
    </xf>
    <xf numFmtId="168" fontId="6" fillId="16" borderId="24" xfId="7" applyNumberFormat="1" applyFont="1" applyFill="1" applyBorder="1" applyAlignment="1">
      <alignment horizontal="center" vertical="center" wrapText="1"/>
    </xf>
    <xf numFmtId="168" fontId="6" fillId="16" borderId="7" xfId="7" applyNumberFormat="1" applyFont="1" applyFill="1" applyBorder="1" applyAlignment="1">
      <alignment horizontal="center" vertical="center" wrapText="1"/>
    </xf>
    <xf numFmtId="168" fontId="6" fillId="16" borderId="25" xfId="7" applyNumberFormat="1" applyFont="1" applyFill="1" applyBorder="1" applyAlignment="1">
      <alignment horizontal="center" vertical="center" wrapText="1"/>
    </xf>
    <xf numFmtId="168" fontId="6" fillId="16" borderId="26" xfId="7" applyNumberFormat="1" applyFont="1" applyFill="1" applyBorder="1" applyAlignment="1">
      <alignment horizontal="center" vertical="center" wrapText="1"/>
    </xf>
    <xf numFmtId="168" fontId="6" fillId="16" borderId="5" xfId="7" applyNumberFormat="1" applyFont="1" applyFill="1" applyBorder="1" applyAlignment="1">
      <alignment horizontal="center" vertical="center" wrapText="1"/>
    </xf>
    <xf numFmtId="168" fontId="6" fillId="16" borderId="27" xfId="7" applyNumberFormat="1" applyFont="1" applyFill="1" applyBorder="1" applyAlignment="1">
      <alignment horizontal="center" vertical="center" wrapText="1"/>
    </xf>
    <xf numFmtId="168" fontId="6" fillId="20" borderId="24" xfId="7" applyNumberFormat="1" applyFont="1" applyFill="1" applyBorder="1" applyAlignment="1">
      <alignment horizontal="center" vertical="center" wrapText="1"/>
    </xf>
    <xf numFmtId="168" fontId="6" fillId="20" borderId="7" xfId="7" applyNumberFormat="1" applyFont="1" applyFill="1" applyBorder="1" applyAlignment="1">
      <alignment horizontal="center" vertical="center" wrapText="1"/>
    </xf>
    <xf numFmtId="168" fontId="6" fillId="20" borderId="25" xfId="7" applyNumberFormat="1" applyFont="1" applyFill="1" applyBorder="1" applyAlignment="1">
      <alignment horizontal="center" vertical="center" wrapText="1"/>
    </xf>
    <xf numFmtId="168" fontId="6" fillId="20" borderId="26" xfId="7" applyNumberFormat="1" applyFont="1" applyFill="1" applyBorder="1" applyAlignment="1">
      <alignment horizontal="center" vertical="center" wrapText="1"/>
    </xf>
    <xf numFmtId="168" fontId="6" fillId="20" borderId="5" xfId="7" applyNumberFormat="1" applyFont="1" applyFill="1" applyBorder="1" applyAlignment="1">
      <alignment horizontal="center" vertical="center" wrapText="1"/>
    </xf>
    <xf numFmtId="168" fontId="6" fillId="20" borderId="27" xfId="7" applyNumberFormat="1" applyFont="1" applyFill="1" applyBorder="1" applyAlignment="1">
      <alignment horizontal="center" vertical="center" wrapText="1"/>
    </xf>
    <xf numFmtId="168" fontId="6" fillId="21" borderId="24" xfId="7" applyNumberFormat="1" applyFont="1" applyFill="1" applyBorder="1" applyAlignment="1">
      <alignment horizontal="center" vertical="center" wrapText="1"/>
    </xf>
    <xf numFmtId="168" fontId="6" fillId="21" borderId="25" xfId="7" applyNumberFormat="1" applyFont="1" applyFill="1" applyBorder="1" applyAlignment="1">
      <alignment horizontal="center" vertical="center" wrapText="1"/>
    </xf>
    <xf numFmtId="168" fontId="6" fillId="21" borderId="5" xfId="7" applyNumberFormat="1" applyFont="1" applyFill="1" applyBorder="1" applyAlignment="1">
      <alignment horizontal="center" vertical="center" wrapText="1"/>
    </xf>
    <xf numFmtId="168" fontId="6" fillId="21" borderId="27" xfId="7" applyNumberFormat="1" applyFont="1" applyFill="1" applyBorder="1" applyAlignment="1">
      <alignment horizontal="center" vertical="center" wrapText="1"/>
    </xf>
    <xf numFmtId="166" fontId="6" fillId="0" borderId="28" xfId="6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168" fontId="6" fillId="15" borderId="28" xfId="7" applyNumberFormat="1" applyFont="1" applyFill="1" applyBorder="1" applyAlignment="1">
      <alignment horizontal="center" vertical="center" wrapText="1"/>
    </xf>
    <xf numFmtId="168" fontId="6" fillId="15" borderId="6" xfId="7" applyNumberFormat="1" applyFont="1" applyFill="1" applyBorder="1" applyAlignment="1">
      <alignment horizontal="center" vertical="center" wrapText="1"/>
    </xf>
    <xf numFmtId="168" fontId="6" fillId="15" borderId="29" xfId="7" applyNumberFormat="1" applyFont="1" applyFill="1" applyBorder="1" applyAlignment="1">
      <alignment horizontal="center" vertical="center" wrapText="1"/>
    </xf>
    <xf numFmtId="168" fontId="6" fillId="16" borderId="28" xfId="7" applyNumberFormat="1" applyFont="1" applyFill="1" applyBorder="1" applyAlignment="1">
      <alignment horizontal="center" vertical="center" wrapText="1"/>
    </xf>
    <xf numFmtId="168" fontId="6" fillId="16" borderId="6" xfId="7" applyNumberFormat="1" applyFont="1" applyFill="1" applyBorder="1" applyAlignment="1">
      <alignment horizontal="center" vertical="center" wrapText="1"/>
    </xf>
    <xf numFmtId="168" fontId="6" fillId="16" borderId="29" xfId="7" applyNumberFormat="1" applyFont="1" applyFill="1" applyBorder="1" applyAlignment="1">
      <alignment horizontal="center" vertical="center" wrapText="1"/>
    </xf>
    <xf numFmtId="168" fontId="6" fillId="20" borderId="28" xfId="7" applyNumberFormat="1" applyFont="1" applyFill="1" applyBorder="1" applyAlignment="1">
      <alignment horizontal="center" vertical="center" wrapText="1"/>
    </xf>
    <xf numFmtId="168" fontId="6" fillId="20" borderId="6" xfId="7" applyNumberFormat="1" applyFont="1" applyFill="1" applyBorder="1" applyAlignment="1">
      <alignment horizontal="center" vertical="center" wrapText="1"/>
    </xf>
    <xf numFmtId="168" fontId="6" fillId="20" borderId="29" xfId="7" applyNumberFormat="1" applyFont="1" applyFill="1" applyBorder="1" applyAlignment="1">
      <alignment horizontal="center" vertical="center" wrapText="1"/>
    </xf>
    <xf numFmtId="168" fontId="6" fillId="21" borderId="30" xfId="7" applyNumberFormat="1" applyFont="1" applyFill="1" applyBorder="1" applyAlignment="1">
      <alignment horizontal="center" vertical="center" wrapText="1"/>
    </xf>
    <xf numFmtId="168" fontId="6" fillId="21" borderId="6" xfId="7" applyNumberFormat="1" applyFont="1" applyFill="1" applyBorder="1" applyAlignment="1">
      <alignment horizontal="center" vertical="center" wrapText="1"/>
    </xf>
    <xf numFmtId="168" fontId="6" fillId="21" borderId="29" xfId="7" applyNumberFormat="1" applyFont="1" applyFill="1" applyBorder="1" applyAlignment="1">
      <alignment horizontal="center" vertical="center" wrapText="1"/>
    </xf>
    <xf numFmtId="168" fontId="6" fillId="2" borderId="30" xfId="7" applyNumberFormat="1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168" fontId="9" fillId="8" borderId="31" xfId="0" applyNumberFormat="1" applyFont="1" applyFill="1" applyBorder="1" applyAlignment="1">
      <alignment horizontal="center" vertical="center" wrapText="1"/>
    </xf>
    <xf numFmtId="168" fontId="9" fillId="8" borderId="33" xfId="0" applyNumberFormat="1" applyFont="1" applyFill="1" applyBorder="1" applyAlignment="1">
      <alignment horizontal="center" vertical="center" wrapText="1"/>
    </xf>
    <xf numFmtId="168" fontId="9" fillId="8" borderId="32" xfId="0" applyNumberFormat="1" applyFont="1" applyFill="1" applyBorder="1" applyAlignment="1">
      <alignment horizontal="center" vertical="center" wrapText="1"/>
    </xf>
    <xf numFmtId="168" fontId="9" fillId="10" borderId="31" xfId="0" applyNumberFormat="1" applyFont="1" applyFill="1" applyBorder="1" applyAlignment="1">
      <alignment horizontal="center" vertical="center" wrapText="1"/>
    </xf>
    <xf numFmtId="168" fontId="9" fillId="10" borderId="33" xfId="0" applyNumberFormat="1" applyFont="1" applyFill="1" applyBorder="1" applyAlignment="1">
      <alignment horizontal="center" vertical="center" wrapText="1"/>
    </xf>
    <xf numFmtId="168" fontId="9" fillId="10" borderId="32" xfId="0" applyNumberFormat="1" applyFont="1" applyFill="1" applyBorder="1" applyAlignment="1">
      <alignment horizontal="center" vertical="center" wrapText="1"/>
    </xf>
    <xf numFmtId="168" fontId="9" fillId="11" borderId="31" xfId="0" applyNumberFormat="1" applyFont="1" applyFill="1" applyBorder="1" applyAlignment="1">
      <alignment horizontal="center" vertical="center" wrapText="1"/>
    </xf>
    <xf numFmtId="168" fontId="9" fillId="11" borderId="33" xfId="0" applyNumberFormat="1" applyFont="1" applyFill="1" applyBorder="1" applyAlignment="1">
      <alignment horizontal="center" vertical="center" wrapText="1"/>
    </xf>
    <xf numFmtId="168" fontId="9" fillId="11" borderId="32" xfId="0" applyNumberFormat="1" applyFont="1" applyFill="1" applyBorder="1" applyAlignment="1">
      <alignment horizontal="center" vertical="center" wrapText="1"/>
    </xf>
    <xf numFmtId="168" fontId="9" fillId="12" borderId="31" xfId="0" applyNumberFormat="1" applyFont="1" applyFill="1" applyBorder="1" applyAlignment="1">
      <alignment horizontal="center" vertical="center" wrapText="1"/>
    </xf>
    <xf numFmtId="168" fontId="9" fillId="12" borderId="33" xfId="0" applyNumberFormat="1" applyFont="1" applyFill="1" applyBorder="1" applyAlignment="1">
      <alignment horizontal="center" vertical="center" wrapText="1"/>
    </xf>
    <xf numFmtId="168" fontId="9" fillId="12" borderId="32" xfId="0" applyNumberFormat="1" applyFont="1" applyFill="1" applyBorder="1" applyAlignment="1">
      <alignment horizontal="center" vertical="center" wrapText="1"/>
    </xf>
    <xf numFmtId="168" fontId="9" fillId="4" borderId="31" xfId="0" applyNumberFormat="1" applyFont="1" applyFill="1" applyBorder="1" applyAlignment="1">
      <alignment horizontal="center" vertical="center" wrapText="1"/>
    </xf>
    <xf numFmtId="165" fontId="9" fillId="5" borderId="34" xfId="0" applyNumberFormat="1" applyFont="1" applyFill="1" applyBorder="1" applyAlignment="1">
      <alignment horizontal="center" vertical="center" wrapText="1"/>
    </xf>
    <xf numFmtId="165" fontId="9" fillId="5" borderId="35" xfId="0" applyNumberFormat="1" applyFont="1" applyFill="1" applyBorder="1" applyAlignment="1">
      <alignment horizontal="center" vertical="center" wrapText="1"/>
    </xf>
    <xf numFmtId="165" fontId="14" fillId="9" borderId="34" xfId="0" applyNumberFormat="1" applyFont="1" applyFill="1" applyBorder="1" applyAlignment="1">
      <alignment horizontal="center" vertical="center" wrapText="1"/>
    </xf>
    <xf numFmtId="165" fontId="14" fillId="9" borderId="36" xfId="0" applyNumberFormat="1" applyFont="1" applyFill="1" applyBorder="1" applyAlignment="1">
      <alignment horizontal="center" vertical="center" wrapText="1"/>
    </xf>
    <xf numFmtId="165" fontId="14" fillId="9" borderId="35" xfId="0" applyNumberFormat="1" applyFont="1" applyFill="1" applyBorder="1" applyAlignment="1">
      <alignment horizontal="center" vertical="center" wrapText="1"/>
    </xf>
    <xf numFmtId="165" fontId="14" fillId="13" borderId="34" xfId="0" applyNumberFormat="1" applyFont="1" applyFill="1" applyBorder="1" applyAlignment="1">
      <alignment horizontal="center" vertical="center" wrapText="1"/>
    </xf>
    <xf numFmtId="165" fontId="14" fillId="13" borderId="36" xfId="0" applyNumberFormat="1" applyFont="1" applyFill="1" applyBorder="1" applyAlignment="1">
      <alignment horizontal="center" vertical="center" wrapText="1"/>
    </xf>
    <xf numFmtId="165" fontId="14" fillId="13" borderId="35" xfId="0" applyNumberFormat="1" applyFont="1" applyFill="1" applyBorder="1" applyAlignment="1">
      <alignment horizontal="center" vertical="center" wrapText="1"/>
    </xf>
    <xf numFmtId="165" fontId="14" fillId="19" borderId="34" xfId="0" applyNumberFormat="1" applyFont="1" applyFill="1" applyBorder="1" applyAlignment="1">
      <alignment horizontal="center" vertical="center" wrapText="1"/>
    </xf>
    <xf numFmtId="165" fontId="14" fillId="17" borderId="36" xfId="0" applyNumberFormat="1" applyFont="1" applyFill="1" applyBorder="1" applyAlignment="1">
      <alignment horizontal="center" vertical="center" wrapText="1"/>
    </xf>
    <xf numFmtId="165" fontId="14" fillId="17" borderId="35" xfId="0" applyNumberFormat="1" applyFont="1" applyFill="1" applyBorder="1" applyAlignment="1">
      <alignment horizontal="center" vertical="center" wrapText="1"/>
    </xf>
    <xf numFmtId="165" fontId="14" fillId="18" borderId="34" xfId="0" applyNumberFormat="1" applyFont="1" applyFill="1" applyBorder="1" applyAlignment="1">
      <alignment horizontal="center" vertical="center" wrapText="1"/>
    </xf>
    <xf numFmtId="165" fontId="14" fillId="18" borderId="36" xfId="0" applyNumberFormat="1" applyFont="1" applyFill="1" applyBorder="1" applyAlignment="1">
      <alignment horizontal="center" vertical="center" wrapText="1"/>
    </xf>
    <xf numFmtId="165" fontId="14" fillId="18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8" fontId="8" fillId="12" borderId="22" xfId="0" applyNumberFormat="1" applyFont="1" applyFill="1" applyBorder="1" applyAlignment="1">
      <alignment horizontal="center" vertical="center" wrapText="1"/>
    </xf>
    <xf numFmtId="168" fontId="8" fillId="11" borderId="22" xfId="0" applyNumberFormat="1" applyFont="1" applyFill="1" applyBorder="1" applyAlignment="1">
      <alignment horizontal="center" vertical="center" wrapText="1"/>
    </xf>
    <xf numFmtId="168" fontId="8" fillId="10" borderId="22" xfId="0" applyNumberFormat="1" applyFont="1" applyFill="1" applyBorder="1" applyAlignment="1">
      <alignment horizontal="center" vertical="center" wrapText="1"/>
    </xf>
    <xf numFmtId="168" fontId="8" fillId="8" borderId="22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 wrapText="1"/>
    </xf>
    <xf numFmtId="0" fontId="7" fillId="0" borderId="0" xfId="0" applyFont="1" applyAlignment="1">
      <alignment horizontal="center" vertical="center" wrapText="1"/>
    </xf>
    <xf numFmtId="14" fontId="7" fillId="3" borderId="37" xfId="9" applyFont="1" applyFill="1" applyBorder="1" applyAlignment="1">
      <alignment horizontal="center" vertical="center" wrapText="1"/>
    </xf>
    <xf numFmtId="166" fontId="7" fillId="3" borderId="21" xfId="6" applyFont="1" applyFill="1" applyBorder="1" applyAlignment="1">
      <alignment horizontal="center" vertical="center"/>
    </xf>
    <xf numFmtId="0" fontId="26" fillId="2" borderId="0" xfId="0" applyFont="1" applyFill="1">
      <alignment vertical="center" wrapText="1"/>
    </xf>
    <xf numFmtId="168" fontId="27" fillId="15" borderId="27" xfId="7" applyNumberFormat="1" applyFont="1" applyFill="1" applyBorder="1" applyAlignment="1">
      <alignment horizontal="center" vertical="center" wrapText="1"/>
    </xf>
    <xf numFmtId="168" fontId="28" fillId="2" borderId="0" xfId="0" applyNumberFormat="1" applyFont="1" applyFill="1">
      <alignment vertical="center" wrapText="1"/>
    </xf>
    <xf numFmtId="0" fontId="26" fillId="2" borderId="0" xfId="0" applyFont="1" applyFill="1" applyAlignment="1">
      <alignment horizontal="right" vertical="center" wrapText="1"/>
    </xf>
    <xf numFmtId="0" fontId="0" fillId="22" borderId="0" xfId="0" applyFill="1" applyAlignment="1">
      <alignment horizontal="center" vertical="center" wrapText="1"/>
    </xf>
    <xf numFmtId="0" fontId="0" fillId="22" borderId="0" xfId="0" applyFill="1">
      <alignment vertical="center" wrapText="1"/>
    </xf>
    <xf numFmtId="167" fontId="0" fillId="22" borderId="0" xfId="0" applyNumberFormat="1" applyFill="1" applyAlignment="1">
      <alignment horizontal="center" vertical="center" wrapText="1"/>
    </xf>
    <xf numFmtId="171" fontId="11" fillId="10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166" fontId="7" fillId="0" borderId="8" xfId="6" applyFont="1" applyBorder="1" applyAlignment="1">
      <alignment horizontal="center" vertical="center" wrapText="1"/>
    </xf>
    <xf numFmtId="7" fontId="7" fillId="0" borderId="8" xfId="6" applyNumberFormat="1" applyFont="1" applyBorder="1" applyAlignment="1">
      <alignment horizontal="center" vertical="center" wrapText="1"/>
    </xf>
    <xf numFmtId="14" fontId="7" fillId="3" borderId="21" xfId="9" applyFont="1" applyFill="1" applyBorder="1" applyAlignment="1">
      <alignment horizontal="center" vertical="center" wrapText="1"/>
    </xf>
    <xf numFmtId="166" fontId="7" fillId="0" borderId="37" xfId="6" applyFont="1" applyBorder="1" applyAlignment="1">
      <alignment horizontal="center" vertical="center" wrapText="1"/>
    </xf>
    <xf numFmtId="7" fontId="7" fillId="0" borderId="37" xfId="6" applyNumberFormat="1" applyFont="1" applyBorder="1" applyAlignment="1">
      <alignment horizontal="center" vertical="center" wrapText="1"/>
    </xf>
    <xf numFmtId="0" fontId="29" fillId="0" borderId="0" xfId="0" applyFont="1">
      <alignment vertical="center" wrapText="1"/>
    </xf>
    <xf numFmtId="167" fontId="30" fillId="0" borderId="0" xfId="0" applyNumberFormat="1" applyFont="1">
      <alignment vertical="center" wrapText="1"/>
    </xf>
    <xf numFmtId="7" fontId="7" fillId="0" borderId="8" xfId="6" applyNumberFormat="1" applyFont="1" applyFill="1" applyBorder="1" applyAlignment="1">
      <alignment horizontal="center" vertical="center" wrapText="1"/>
    </xf>
    <xf numFmtId="166" fontId="7" fillId="0" borderId="8" xfId="6" applyFont="1" applyFill="1" applyBorder="1" applyAlignment="1">
      <alignment horizontal="center" vertical="center" wrapText="1"/>
    </xf>
    <xf numFmtId="168" fontId="7" fillId="0" borderId="8" xfId="6" applyNumberFormat="1" applyFont="1" applyFill="1" applyBorder="1" applyAlignment="1">
      <alignment horizontal="center" vertical="center" wrapText="1"/>
    </xf>
    <xf numFmtId="167" fontId="0" fillId="0" borderId="16" xfId="0" applyNumberFormat="1" applyBorder="1">
      <alignment vertical="center" wrapText="1"/>
    </xf>
    <xf numFmtId="167" fontId="0" fillId="0" borderId="0" xfId="0" applyNumberFormat="1">
      <alignment vertical="center" wrapText="1"/>
    </xf>
    <xf numFmtId="0" fontId="7" fillId="0" borderId="0" xfId="0" applyFont="1">
      <alignment vertical="center" wrapText="1"/>
    </xf>
    <xf numFmtId="0" fontId="32" fillId="4" borderId="6" xfId="0" applyFont="1" applyFill="1" applyBorder="1" applyAlignment="1">
      <alignment horizontal="center" vertical="center" wrapText="1"/>
    </xf>
    <xf numFmtId="168" fontId="7" fillId="0" borderId="12" xfId="0" applyNumberFormat="1" applyFont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168" fontId="7" fillId="0" borderId="8" xfId="7" applyNumberFormat="1" applyFont="1" applyFill="1" applyBorder="1" applyAlignment="1">
      <alignment horizontal="center" vertical="center" wrapText="1"/>
    </xf>
    <xf numFmtId="168" fontId="7" fillId="0" borderId="37" xfId="6" applyNumberFormat="1" applyFont="1" applyFill="1" applyBorder="1" applyAlignment="1">
      <alignment horizontal="center" vertical="center" wrapText="1"/>
    </xf>
    <xf numFmtId="168" fontId="6" fillId="0" borderId="7" xfId="0" applyNumberFormat="1" applyFont="1" applyBorder="1" applyAlignment="1">
      <alignment horizontal="center" vertical="center" wrapText="1"/>
    </xf>
    <xf numFmtId="168" fontId="6" fillId="0" borderId="5" xfId="7" applyNumberFormat="1" applyFont="1" applyFill="1" applyBorder="1" applyAlignment="1">
      <alignment horizontal="center" vertical="center" wrapText="1"/>
    </xf>
    <xf numFmtId="168" fontId="6" fillId="0" borderId="6" xfId="7" applyNumberFormat="1" applyFont="1" applyFill="1" applyBorder="1" applyAlignment="1">
      <alignment horizontal="center" vertical="center" wrapText="1"/>
    </xf>
    <xf numFmtId="168" fontId="6" fillId="23" borderId="7" xfId="7" applyNumberFormat="1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center" vertical="center" wrapText="1"/>
    </xf>
    <xf numFmtId="166" fontId="7" fillId="3" borderId="43" xfId="6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/>
    <xf numFmtId="172" fontId="34" fillId="0" borderId="0" xfId="6" applyNumberFormat="1" applyFont="1" applyAlignment="1">
      <alignment horizontal="right"/>
    </xf>
    <xf numFmtId="0" fontId="37" fillId="0" borderId="0" xfId="0" applyFont="1" applyAlignment="1"/>
    <xf numFmtId="172" fontId="37" fillId="0" borderId="0" xfId="6" applyNumberFormat="1" applyFont="1" applyAlignment="1">
      <alignment horizontal="right"/>
    </xf>
    <xf numFmtId="0" fontId="38" fillId="0" borderId="0" xfId="0" applyFont="1" applyAlignment="1"/>
    <xf numFmtId="14" fontId="37" fillId="23" borderId="0" xfId="0" applyNumberFormat="1" applyFont="1" applyFill="1" applyAlignment="1"/>
    <xf numFmtId="172" fontId="38" fillId="0" borderId="0" xfId="6" applyNumberFormat="1" applyFont="1" applyAlignment="1">
      <alignment horizontal="right"/>
    </xf>
    <xf numFmtId="0" fontId="37" fillId="23" borderId="0" xfId="0" applyFont="1" applyFill="1" applyAlignment="1"/>
    <xf numFmtId="172" fontId="37" fillId="23" borderId="0" xfId="6" applyNumberFormat="1" applyFont="1" applyFill="1" applyAlignment="1">
      <alignment horizontal="right"/>
    </xf>
    <xf numFmtId="0" fontId="37" fillId="0" borderId="0" xfId="0" applyFont="1" applyAlignment="1">
      <alignment horizontal="center"/>
    </xf>
    <xf numFmtId="172" fontId="37" fillId="23" borderId="0" xfId="6" applyNumberFormat="1" applyFont="1" applyFill="1" applyBorder="1" applyAlignment="1">
      <alignment horizontal="right"/>
    </xf>
    <xf numFmtId="172" fontId="37" fillId="0" borderId="0" xfId="6" applyNumberFormat="1" applyFont="1" applyBorder="1" applyAlignment="1">
      <alignment horizontal="right"/>
    </xf>
    <xf numFmtId="172" fontId="37" fillId="0" borderId="45" xfId="6" applyNumberFormat="1" applyFont="1" applyBorder="1" applyAlignment="1">
      <alignment horizontal="right"/>
    </xf>
    <xf numFmtId="173" fontId="37" fillId="0" borderId="0" xfId="6" applyNumberFormat="1" applyFont="1" applyAlignment="1">
      <alignment horizontal="right"/>
    </xf>
    <xf numFmtId="0" fontId="31" fillId="24" borderId="0" xfId="0" applyFont="1" applyFill="1" applyAlignment="1" applyProtection="1">
      <alignment horizontal="center"/>
      <protection locked="0" hidden="1"/>
    </xf>
    <xf numFmtId="4" fontId="31" fillId="24" borderId="0" xfId="0" applyNumberFormat="1" applyFont="1" applyFill="1" applyAlignment="1" applyProtection="1">
      <alignment horizontal="right"/>
      <protection locked="0" hidden="1"/>
    </xf>
    <xf numFmtId="174" fontId="37" fillId="0" borderId="0" xfId="6" applyNumberFormat="1" applyFont="1" applyAlignment="1">
      <alignment horizontal="right"/>
    </xf>
    <xf numFmtId="172" fontId="38" fillId="0" borderId="40" xfId="6" applyNumberFormat="1" applyFont="1" applyBorder="1" applyAlignment="1">
      <alignment horizontal="right"/>
    </xf>
    <xf numFmtId="166" fontId="6" fillId="0" borderId="7" xfId="6" applyFont="1" applyFill="1" applyBorder="1" applyAlignment="1">
      <alignment horizontal="center" vertical="center"/>
    </xf>
    <xf numFmtId="166" fontId="6" fillId="0" borderId="5" xfId="6" applyFont="1" applyFill="1" applyBorder="1" applyAlignment="1">
      <alignment horizontal="center" vertical="center"/>
    </xf>
    <xf numFmtId="166" fontId="6" fillId="0" borderId="5" xfId="6" applyFont="1" applyFill="1" applyBorder="1" applyAlignment="1">
      <alignment horizontal="center" vertical="center" wrapText="1"/>
    </xf>
    <xf numFmtId="169" fontId="7" fillId="0" borderId="5" xfId="8" applyNumberFormat="1" applyFont="1" applyFill="1" applyBorder="1" applyAlignment="1">
      <alignment horizontal="center" vertical="center" wrapText="1"/>
    </xf>
    <xf numFmtId="0" fontId="0" fillId="0" borderId="19" xfId="0" applyBorder="1">
      <alignment vertical="center" wrapText="1"/>
    </xf>
    <xf numFmtId="0" fontId="7" fillId="0" borderId="18" xfId="0" applyFont="1" applyBorder="1">
      <alignment vertical="center" wrapText="1"/>
    </xf>
    <xf numFmtId="0" fontId="7" fillId="0" borderId="17" xfId="0" applyFont="1" applyBorder="1">
      <alignment vertical="center" wrapText="1"/>
    </xf>
    <xf numFmtId="0" fontId="7" fillId="0" borderId="20" xfId="0" applyFont="1" applyBorder="1">
      <alignment vertical="center" wrapText="1"/>
    </xf>
    <xf numFmtId="168" fontId="9" fillId="15" borderId="5" xfId="7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168" fontId="7" fillId="3" borderId="8" xfId="6" applyNumberFormat="1" applyFont="1" applyFill="1" applyBorder="1" applyAlignment="1">
      <alignment horizontal="center" vertical="center" wrapText="1"/>
    </xf>
    <xf numFmtId="14" fontId="7" fillId="3" borderId="43" xfId="9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166" fontId="7" fillId="0" borderId="43" xfId="6" applyFont="1" applyBorder="1" applyAlignment="1">
      <alignment horizontal="center" vertical="center" wrapText="1"/>
    </xf>
    <xf numFmtId="168" fontId="7" fillId="3" borderId="44" xfId="6" applyNumberFormat="1" applyFont="1" applyFill="1" applyBorder="1" applyAlignment="1">
      <alignment horizontal="center" vertical="center" wrapText="1"/>
    </xf>
    <xf numFmtId="7" fontId="7" fillId="0" borderId="41" xfId="6" applyNumberFormat="1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166" fontId="7" fillId="0" borderId="12" xfId="6" applyFont="1" applyBorder="1" applyAlignment="1">
      <alignment horizontal="center" vertical="center" wrapText="1"/>
    </xf>
    <xf numFmtId="168" fontId="7" fillId="3" borderId="12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37" fillId="23" borderId="34" xfId="0" applyFont="1" applyFill="1" applyBorder="1" applyAlignment="1">
      <alignment horizontal="left" wrapText="1"/>
    </xf>
    <xf numFmtId="0" fontId="37" fillId="23" borderId="36" xfId="0" applyFont="1" applyFill="1" applyBorder="1" applyAlignment="1">
      <alignment horizontal="left" wrapText="1"/>
    </xf>
    <xf numFmtId="0" fontId="37" fillId="23" borderId="35" xfId="0" applyFont="1" applyFill="1" applyBorder="1" applyAlignment="1">
      <alignment horizontal="left" wrapText="1"/>
    </xf>
    <xf numFmtId="0" fontId="37" fillId="23" borderId="34" xfId="0" applyFont="1" applyFill="1" applyBorder="1" applyAlignment="1">
      <alignment horizontal="left"/>
    </xf>
    <xf numFmtId="0" fontId="37" fillId="23" borderId="36" xfId="0" applyFont="1" applyFill="1" applyBorder="1" applyAlignment="1">
      <alignment horizontal="left"/>
    </xf>
    <xf numFmtId="0" fontId="37" fillId="23" borderId="35" xfId="0" applyFont="1" applyFill="1" applyBorder="1" applyAlignment="1">
      <alignment horizontal="left"/>
    </xf>
  </cellXfs>
  <cellStyles count="10">
    <cellStyle name="Comma" xfId="6" builtinId="3" customBuiltin="1"/>
    <cellStyle name="Currency [0]" xfId="7" builtinId="7" customBuiltin="1"/>
    <cellStyle name="Date" xfId="9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5" builtinId="8"/>
    <cellStyle name="Normal" xfId="0" builtinId="0" customBuiltin="1"/>
    <cellStyle name="Per cent" xfId="8" builtinId="5" customBuiltin="1"/>
  </cellStyles>
  <dxfs count="126">
    <dxf>
      <font>
        <b/>
        <i val="0"/>
      </font>
      <fill>
        <patternFill>
          <bgColor rgb="FFEBE6D5"/>
        </patternFill>
      </fill>
    </dxf>
    <dxf>
      <font>
        <b/>
        <i val="0"/>
      </font>
      <fill>
        <patternFill>
          <bgColor rgb="FFFEEFE2"/>
        </patternFill>
      </fill>
    </dxf>
    <dxf>
      <font>
        <b/>
        <i val="0"/>
      </font>
      <fill>
        <patternFill>
          <bgColor rgb="FFEEF5F6"/>
        </patternFill>
      </fill>
    </dxf>
    <dxf>
      <font>
        <b/>
        <i val="0"/>
      </font>
      <fill>
        <patternFill>
          <bgColor rgb="FFFEF5E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rgb="FFEBE6D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indexed="64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rgb="FFEBE6D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rgb="FFEBE6D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EFE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indexed="64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EFE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EFE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EEF5F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indexed="64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EEF5F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EEF5F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F5E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indexed="64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F5E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rgb="FFFEF5E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indexed="64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-0.2499465926084170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 tint="-0.1499679555650502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-0.24994659260841701"/>
        <name val="Gill Sans MT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numFmt numFmtId="167" formatCode="&quot;£&quot;#,##0.00"/>
      <border diagonalUp="0" diagonalDown="0" outline="0">
        <left style="thin">
          <color theme="0" tint="-0.14996795556505021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70" formatCode="&quot;£&quot;#,##0.00_);[Red]\(&quot;£&quot;#,##0.00\)"/>
      <alignment horizontal="right" vertical="center" textRotation="0" wrapText="1" indent="0" justifyLastLine="0" shrinkToFit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70" formatCode="&quot;£&quot;#,##0.00_);[Red]\(&quot;£&quot;#,##0.00\)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70" formatCode="&quot;£&quot;#,##0.00_);[Red]\(&quot;£&quot;#,##0.00\)"/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69" formatCode="0.0%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69" formatCode="0.0%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67" formatCode="&quot;£&quot;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71" formatCode="&quot;£&quot;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numFmt numFmtId="168" formatCode="&quot;£&quot;#,##0.00_);\(&quot;£&quot;#,##0.00\)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border>
        <bottom style="thin">
          <color rgb="FF2F2F2F"/>
        </bottom>
      </border>
    </dxf>
    <dxf>
      <font>
        <strike val="0"/>
        <outline val="0"/>
        <shadow val="0"/>
        <u val="none"/>
        <vertAlign val="baseline"/>
        <sz val="12"/>
        <color auto="1"/>
        <name val="Gill Sans MT"/>
        <family val="2"/>
        <scheme val="none"/>
      </font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numFmt numFmtId="168" formatCode="&quot;£&quot;#,##0.00_);\(&quot;£&quot;#,##0.0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4659260841701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Gill Sans MT"/>
        <family val="2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1" formatCode="&quot;£&quot;#,##0.00;\-&quot;£&quot;#,##0.00"/>
      <fill>
        <patternFill patternType="none">
          <fgColor indexed="64"/>
          <bgColor auto="1"/>
        </patternFill>
      </fill>
      <alignment horizontal="center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1" formatCode="&quot;£&quot;#,##0.00;\-&quot;£&quot;#,##0.00"/>
      <alignment horizontal="center" vertical="center" textRotation="0" indent="0" justifyLastLine="0" shrinkToFit="0"/>
      <border diagonalUp="0" diagonalDown="0">
        <left style="thin">
          <color theme="1" tint="0.79998168889431442"/>
        </left>
        <right style="thin">
          <color theme="1" tint="0.79998168889431442"/>
        </right>
        <top style="thin">
          <color theme="1" tint="0.79998168889431442"/>
        </top>
        <bottom style="thin">
          <color theme="1" tint="0.79998168889431442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numFmt numFmtId="168" formatCode="&quot;£&quot;#,##0.00_);\(&quot;£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 style="thin">
          <color theme="1" tint="0.79998168889431442"/>
        </top>
        <bottom style="thin">
          <color theme="1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/>
        <bottom style="thin">
          <color theme="1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/>
        <bottom style="thin">
          <color theme="1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indent="0" justifyLastLine="0" shrinkToFit="0"/>
      <border diagonalUp="0" diagonalDown="0" outline="0">
        <left style="thin">
          <color theme="1" tint="0.79998168889431442"/>
        </left>
        <right style="thin">
          <color theme="1" tint="0.79998168889431442"/>
        </right>
        <top style="thin">
          <color theme="1" tint="0.79998168889431442"/>
        </top>
        <bottom style="thin">
          <color theme="1" tint="0.79998168889431442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 style="thin">
          <color theme="1" tint="0.79998168889431442"/>
        </top>
        <bottom style="thin">
          <color theme="1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 style="thin">
          <color theme="1" tint="0.79998168889431442"/>
        </top>
        <bottom style="thin">
          <color theme="1" tint="0.7999816888943144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79998168889431442"/>
        </left>
        <right style="thin">
          <color theme="1" tint="0.79998168889431442"/>
        </right>
        <top/>
        <bottom style="thin">
          <color theme="1" tint="0.79998168889431442"/>
        </bottom>
        <vertical/>
        <horizontal/>
      </border>
    </dxf>
    <dxf>
      <border>
        <top style="thin">
          <color theme="7" tint="0.39994506668294322"/>
        </top>
      </border>
    </dxf>
    <dxf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indent="0" justifyLastLine="0" shrinkToFit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Gill Sans MT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9"/>
        </left>
      </border>
    </dxf>
    <dxf>
      <border>
        <left style="thin">
          <color theme="9"/>
        </left>
      </border>
    </dxf>
    <dxf>
      <border>
        <top style="thin">
          <color theme="9"/>
        </top>
      </border>
    </dxf>
    <dxf>
      <border>
        <top style="thin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 tint="-0.24994659260841701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color theme="1"/>
      </font>
      <border>
        <bottom style="thin">
          <color theme="7" tint="-0.499984740745262"/>
        </bottom>
        <vertical/>
        <horizontal/>
      </border>
    </dxf>
    <dxf>
      <font>
        <color theme="1"/>
      </font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/>
        <horizontal/>
      </border>
    </dxf>
    <dxf>
      <font>
        <b/>
        <color theme="1"/>
      </font>
      <border>
        <bottom style="thin">
          <color theme="5" tint="-0.499984740745262"/>
        </bottom>
        <vertical/>
        <horizontal/>
      </border>
    </dxf>
    <dxf>
      <font>
        <sz val="11"/>
        <color theme="1"/>
      </font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color theme="1"/>
      </font>
      <border>
        <bottom style="thin">
          <color theme="6" tint="-0.499984740745262"/>
        </bottom>
        <vertical/>
        <horizontal/>
      </border>
    </dxf>
    <dxf>
      <font>
        <color theme="1"/>
      </font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5"/>
        </left>
      </border>
    </dxf>
    <dxf>
      <fill>
        <patternFill patternType="none">
          <bgColor auto="1"/>
        </patternFill>
      </fill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>
          <bgColor theme="5" tint="0.79998168889431442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 tint="-0.499984740745262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8" defaultTableStyle="TableStyleMedium2" defaultPivotStyle="PivotStyleLight16">
    <tableStyle name="Charitables &amp; Sponsorships" pivot="0" count="7" xr9:uid="{00000000-0011-0000-FFFF-FFFF00000000}">
      <tableStyleElement type="wholeTable" dxfId="125"/>
      <tableStyleElement type="headerRow" dxfId="124"/>
      <tableStyleElement type="totalRow" dxfId="123"/>
      <tableStyleElement type="firstColumn" dxfId="122"/>
      <tableStyleElement type="lastColumn" dxfId="121"/>
      <tableStyleElement type="firstRowStripe" dxfId="120"/>
      <tableStyleElement type="firstColumnStripe" dxfId="119"/>
    </tableStyle>
    <tableStyle name="Itemized Expenses" pivot="0" count="7" xr9:uid="{00000000-0011-0000-FFFF-FFFF01000000}">
      <tableStyleElement type="wholeTable" dxfId="118"/>
      <tableStyleElement type="headerRow" dxfId="117"/>
      <tableStyleElement type="totalRow" dxfId="116"/>
      <tableStyleElement type="firstColumn" dxfId="115"/>
      <tableStyleElement type="lastColumn" dxfId="114"/>
      <tableStyleElement type="firstRowStripe" dxfId="113"/>
      <tableStyleElement type="firstColumnStripe" dxfId="112"/>
    </tableStyle>
    <tableStyle name="Monthly Expenses Summary" pivot="0" count="9" xr9:uid="{00000000-0011-0000-FFFF-FFFF02000000}">
      <tableStyleElement type="wholeTable" dxfId="111"/>
      <tableStyleElement type="headerRow" dxfId="110"/>
      <tableStyleElement type="totalRow" dxfId="109"/>
      <tableStyleElement type="firstColumn" dxfId="108"/>
      <tableStyleElement type="lastColumn" dxfId="107"/>
      <tableStyleElement type="firstRowStripe" dxfId="106"/>
      <tableStyleElement type="secondRowStripe" dxfId="105"/>
      <tableStyleElement type="firstColumnStripe" dxfId="104"/>
      <tableStyleElement type="secondColumnStripe" dxfId="103"/>
    </tableStyle>
    <tableStyle name="Slicer Charitables &amp; Sponsorships" pivot="0" table="0" count="10" xr9:uid="{00000000-0011-0000-FFFF-FFFF03000000}">
      <tableStyleElement type="wholeTable" dxfId="102"/>
      <tableStyleElement type="headerRow" dxfId="101"/>
    </tableStyle>
    <tableStyle name="Slicer Itemized Expenses" pivot="0" table="0" count="10" xr9:uid="{00000000-0011-0000-FFFF-FFFF04000000}">
      <tableStyleElement type="wholeTable" dxfId="100"/>
      <tableStyleElement type="headerRow" dxfId="99"/>
    </tableStyle>
    <tableStyle name="Slicer Monthly Expenses Summary" pivot="0" table="0" count="10" xr9:uid="{00000000-0011-0000-FFFF-FFFF05000000}">
      <tableStyleElement type="wholeTable" dxfId="98"/>
      <tableStyleElement type="headerRow" dxfId="97"/>
    </tableStyle>
    <tableStyle name="SlicerStyleDark4 2" pivot="0" table="0" count="10" xr9:uid="{00000000-0011-0000-FFFF-FFFF06000000}">
      <tableStyleElement type="wholeTable" dxfId="96"/>
      <tableStyleElement type="headerRow" dxfId="95"/>
    </tableStyle>
    <tableStyle name="YTD Budget Summary" pivot="0" count="9" xr9:uid="{00000000-0011-0000-FFFF-FFFF07000000}">
      <tableStyleElement type="wholeTable" dxfId="94"/>
      <tableStyleElement type="headerRow" dxfId="93"/>
      <tableStyleElement type="totalRow" dxfId="92"/>
      <tableStyleElement type="firstColumn" dxfId="91"/>
      <tableStyleElement type="lastColumn" dxfId="90"/>
      <tableStyleElement type="firstRowStripe" dxfId="89"/>
      <tableStyleElement type="secondRowStripe" dxfId="88"/>
      <tableStyleElement type="firstColumnStripe" dxfId="87"/>
      <tableStyleElement type="secondColumnStripe" dxfId="86"/>
    </tableStyle>
  </tableStyles>
  <colors>
    <mruColors>
      <color rgb="FFFEF5E6"/>
      <color rgb="FFFFFFCC"/>
      <color rgb="FFEBE6D5"/>
      <color rgb="FFFEEFE2"/>
      <color rgb="FFFBD0BB"/>
      <color rgb="FFFCE1D4"/>
      <color rgb="FFEEF5F6"/>
      <color rgb="FFECF3F4"/>
      <color rgb="FFEDF7AF"/>
      <color rgb="FFB4DE86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 tint="-0.499984740745262"/>
            </patternFill>
          </fill>
          <border>
            <left style="thin">
              <color theme="7" tint="-0.499984740745262"/>
            </left>
            <right style="thin">
              <color theme="7" tint="-0.499984740745262"/>
            </right>
            <top style="thin">
              <color theme="7" tint="-0.499984740745262"/>
            </top>
            <bottom style="thin">
              <color theme="7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 tint="-0.49998474074526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6"/>
              <bgColor theme="6" tint="-0.499984740745262"/>
            </patternFill>
          </fill>
          <border>
            <left style="thin">
              <color theme="6" tint="-0.499984740745262"/>
            </left>
            <right style="thin">
              <color theme="6" tint="-0.499984740745262"/>
            </right>
            <top style="thin">
              <color theme="6" tint="-0.499984740745262"/>
            </top>
            <bottom style="thin">
              <color theme="6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 tint="-0.49998474074526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 Charitables &amp; Sponsorships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 Itemized Expenses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 Monthly Expenses Summary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microsoft.com/office/2017/10/relationships/person" Target="persons/person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CHARITABLES &amp; SPONSORSHIPS'!A1"/><Relationship Id="rId1" Type="http://schemas.openxmlformats.org/officeDocument/2006/relationships/hyperlink" Target="#'MONTHLY EXPENSES SUMMARY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TEMIZED EXPENS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ONTHLY EXPENSES SUMMAR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ITEMIZED EXPENSES'!A1"/><Relationship Id="rId1" Type="http://schemas.openxmlformats.org/officeDocument/2006/relationships/hyperlink" Target="#'YTD BUDGET SUMMA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163830</xdr:rowOff>
    </xdr:from>
    <xdr:to>
      <xdr:col>4</xdr:col>
      <xdr:colOff>731520</xdr:colOff>
      <xdr:row>0</xdr:row>
      <xdr:rowOff>438150</xdr:rowOff>
    </xdr:to>
    <xdr:sp macro="" textlink="">
      <xdr:nvSpPr>
        <xdr:cNvPr id="6" name="Left Arrow 8" descr="Left navigation button">
          <a:hlinkClick xmlns:r="http://schemas.openxmlformats.org/officeDocument/2006/relationships" r:id="rId1" tooltip="Select to navigate to MONTHLY EXPENSES SUMMARY worksheet"/>
          <a:extLst>
            <a:ext uri="{FF2B5EF4-FFF2-40B4-BE49-F238E27FC236}">
              <a16:creationId xmlns:a16="http://schemas.microsoft.com/office/drawing/2014/main" id="{C73DCBEF-D9FA-437D-96E6-AA3A4598F772}"/>
            </a:ext>
          </a:extLst>
        </xdr:cNvPr>
        <xdr:cNvSpPr/>
      </xdr:nvSpPr>
      <xdr:spPr>
        <a:xfrm>
          <a:off x="182880" y="163830"/>
          <a:ext cx="731520" cy="274320"/>
        </a:xfrm>
        <a:prstGeom prst="leftArrow">
          <a:avLst>
            <a:gd name="adj1" fmla="val 100000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PREV</a:t>
          </a:r>
        </a:p>
      </xdr:txBody>
    </xdr:sp>
    <xdr:clientData fPrintsWithSheet="0"/>
  </xdr:twoCellAnchor>
  <xdr:twoCellAnchor editAs="oneCell">
    <xdr:from>
      <xdr:col>1</xdr:col>
      <xdr:colOff>0</xdr:colOff>
      <xdr:row>0</xdr:row>
      <xdr:rowOff>163830</xdr:rowOff>
    </xdr:from>
    <xdr:to>
      <xdr:col>1</xdr:col>
      <xdr:colOff>731520</xdr:colOff>
      <xdr:row>0</xdr:row>
      <xdr:rowOff>438150</xdr:rowOff>
    </xdr:to>
    <xdr:sp macro="" textlink="">
      <xdr:nvSpPr>
        <xdr:cNvPr id="7" name="Right Arrow 7" descr="Right navigation button">
          <a:hlinkClick xmlns:r="http://schemas.openxmlformats.org/officeDocument/2006/relationships" r:id="rId2" tooltip="Select to navigate to CHARITABLES &amp; SPONSORSHIPS worksheet"/>
          <a:extLst>
            <a:ext uri="{FF2B5EF4-FFF2-40B4-BE49-F238E27FC236}">
              <a16:creationId xmlns:a16="http://schemas.microsoft.com/office/drawing/2014/main" id="{97F0CB6F-94CE-461E-AB25-E2B12DF600B2}"/>
            </a:ext>
          </a:extLst>
        </xdr:cNvPr>
        <xdr:cNvSpPr/>
      </xdr:nvSpPr>
      <xdr:spPr>
        <a:xfrm>
          <a:off x="1028700" y="163830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167640</xdr:rowOff>
    </xdr:from>
    <xdr:to>
      <xdr:col>1</xdr:col>
      <xdr:colOff>731520</xdr:colOff>
      <xdr:row>0</xdr:row>
      <xdr:rowOff>441960</xdr:rowOff>
    </xdr:to>
    <xdr:sp macro="" textlink="">
      <xdr:nvSpPr>
        <xdr:cNvPr id="6" name="Left Arrow 6" descr="Left navigation button">
          <a:hlinkClick xmlns:r="http://schemas.openxmlformats.org/officeDocument/2006/relationships" r:id="rId1" tooltip="Select to navigate to ITEMIZED EXPENSES worksheet"/>
          <a:extLst>
            <a:ext uri="{FF2B5EF4-FFF2-40B4-BE49-F238E27FC236}">
              <a16:creationId xmlns:a16="http://schemas.microsoft.com/office/drawing/2014/main" id="{F4EC4B53-35E1-49AB-9992-C7C94F4BE626}"/>
            </a:ext>
          </a:extLst>
        </xdr:cNvPr>
        <xdr:cNvSpPr/>
      </xdr:nvSpPr>
      <xdr:spPr>
        <a:xfrm>
          <a:off x="182880" y="167640"/>
          <a:ext cx="731520" cy="274320"/>
        </a:xfrm>
        <a:prstGeom prst="leftArrow">
          <a:avLst>
            <a:gd name="adj1" fmla="val 100000"/>
            <a:gd name="adj2" fmla="val 50000"/>
          </a:avLst>
        </a:prstGeom>
        <a:solidFill>
          <a:srgbClr val="2F2F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PREV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82976</xdr:rowOff>
    </xdr:from>
    <xdr:to>
      <xdr:col>2</xdr:col>
      <xdr:colOff>731520</xdr:colOff>
      <xdr:row>0</xdr:row>
      <xdr:rowOff>357296</xdr:rowOff>
    </xdr:to>
    <xdr:sp macro="" textlink="">
      <xdr:nvSpPr>
        <xdr:cNvPr id="4" name="Right Arrow 1" descr="Right navigation button">
          <a:hlinkClick xmlns:r="http://schemas.openxmlformats.org/officeDocument/2006/relationships" r:id="rId1" tooltip="Select to navigate to MONTHLY EXPENSES SUMMARY worksheet"/>
          <a:extLst>
            <a:ext uri="{FF2B5EF4-FFF2-40B4-BE49-F238E27FC236}">
              <a16:creationId xmlns:a16="http://schemas.microsoft.com/office/drawing/2014/main" id="{A2F25B9E-1F9C-4FA0-9FF6-E8F206FC0CA1}"/>
            </a:ext>
          </a:extLst>
        </xdr:cNvPr>
        <xdr:cNvSpPr/>
      </xdr:nvSpPr>
      <xdr:spPr>
        <a:xfrm>
          <a:off x="1143000" y="82976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rgbClr val="2F2F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167640</xdr:rowOff>
    </xdr:from>
    <xdr:to>
      <xdr:col>1</xdr:col>
      <xdr:colOff>731520</xdr:colOff>
      <xdr:row>0</xdr:row>
      <xdr:rowOff>441960</xdr:rowOff>
    </xdr:to>
    <xdr:sp macro="" textlink="">
      <xdr:nvSpPr>
        <xdr:cNvPr id="6" name="Left Arrow 4" descr="Left navigation button">
          <a:hlinkClick xmlns:r="http://schemas.openxmlformats.org/officeDocument/2006/relationships" r:id="rId1" tooltip="Select to navigate to YTD BUDGET SUMMARY worksheet"/>
          <a:extLst>
            <a:ext uri="{FF2B5EF4-FFF2-40B4-BE49-F238E27FC236}">
              <a16:creationId xmlns:a16="http://schemas.microsoft.com/office/drawing/2014/main" id="{E95A5DF3-CD0F-493D-A7FC-4C7CD2BE6987}"/>
            </a:ext>
          </a:extLst>
        </xdr:cNvPr>
        <xdr:cNvSpPr/>
      </xdr:nvSpPr>
      <xdr:spPr>
        <a:xfrm>
          <a:off x="182880" y="167640"/>
          <a:ext cx="731520" cy="274320"/>
        </a:xfrm>
        <a:prstGeom prst="leftArrow">
          <a:avLst>
            <a:gd name="adj1" fmla="val 100000"/>
            <a:gd name="adj2" fmla="val 50000"/>
          </a:avLst>
        </a:prstGeom>
        <a:solidFill>
          <a:schemeClr val="tx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PREV</a:t>
          </a:r>
        </a:p>
      </xdr:txBody>
    </xdr:sp>
    <xdr:clientData fPrintsWithSheet="0"/>
  </xdr:twoCellAnchor>
  <xdr:twoCellAnchor editAs="oneCell">
    <xdr:from>
      <xdr:col>1</xdr:col>
      <xdr:colOff>845819</xdr:colOff>
      <xdr:row>0</xdr:row>
      <xdr:rowOff>167640</xdr:rowOff>
    </xdr:from>
    <xdr:to>
      <xdr:col>2</xdr:col>
      <xdr:colOff>734059</xdr:colOff>
      <xdr:row>0</xdr:row>
      <xdr:rowOff>441960</xdr:rowOff>
    </xdr:to>
    <xdr:sp macro="" textlink="">
      <xdr:nvSpPr>
        <xdr:cNvPr id="7" name="Right Arrow 3" descr="Right navigation button">
          <a:hlinkClick xmlns:r="http://schemas.openxmlformats.org/officeDocument/2006/relationships" r:id="rId2" tooltip="Select to navigate to ITEMIZED EXPENSES worksheet"/>
          <a:extLst>
            <a:ext uri="{FF2B5EF4-FFF2-40B4-BE49-F238E27FC236}">
              <a16:creationId xmlns:a16="http://schemas.microsoft.com/office/drawing/2014/main" id="{905DABCC-166E-4E40-ABFD-B9AB1276B6E2}"/>
            </a:ext>
          </a:extLst>
        </xdr:cNvPr>
        <xdr:cNvSpPr/>
      </xdr:nvSpPr>
      <xdr:spPr>
        <a:xfrm>
          <a:off x="1028699" y="167640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chemeClr val="tx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c4a636ccd054393/Documents/ACCOUNTS/FINANCES%202024-25/Financial%20Spreadsheets/NEW%20SF%20Parish_Council_Accounts_24-25%20March%2025.xlsx" TargetMode="External"/><Relationship Id="rId1" Type="http://schemas.openxmlformats.org/officeDocument/2006/relationships/externalLinkPath" Target="/5c4a636ccd054393/Documents/ACCOUNTS/FINANCES%202024-25/Financial%20Spreadsheets/NEW%20SF%20Parish_Council_Accounts_24-25%20March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h Book"/>
      <sheetName val="Income"/>
      <sheetName val="YTD BUDGET SUMMARY"/>
      <sheetName val="MONTHLY EXPENSES SUMMARY"/>
      <sheetName val="AGAR"/>
      <sheetName val="Lists"/>
      <sheetName val="Ongoing Bank Rec"/>
      <sheetName val="Total Bank Balance "/>
      <sheetName val="Pivot"/>
      <sheetName val="NEW SF Parish_Council_Accounts_"/>
    </sheetNames>
    <sheetDataSet>
      <sheetData sheetId="0">
        <row r="53">
          <cell r="I53">
            <v>249.52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ItemizedExpenses" displayName="ItemizedExpenses" ref="B4:K59" totalsRowShown="0" headerRowDxfId="85" dataDxfId="83" headerRowBorderDxfId="84" tableBorderDxfId="82" totalsRowBorderDxfId="81">
  <autoFilter ref="B4:K59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00000000-0010-0000-0200-000002000000}" name="Payment Date on card or when cheque written" dataDxfId="80" dataCellStyle="Date"/>
    <tableColumn id="10" xr3:uid="{75A607E4-8B6F-4472-B4E0-5DE0B6222564}" name="Payment Type" dataDxfId="79" dataCellStyle="Date"/>
    <tableColumn id="6" xr3:uid="{00000000-0010-0000-0200-000006000000}" name="Payee" dataDxfId="78"/>
    <tableColumn id="1" xr3:uid="{00000000-0010-0000-0200-000001000000}" name="Nom Code" dataDxfId="77" dataCellStyle="Comma"/>
    <tableColumn id="11" xr3:uid="{9AC917AB-9366-4C67-B18A-93D4DF51D320}" name="Category" dataDxfId="76" dataCellStyle="Comma"/>
    <tableColumn id="12" xr3:uid="{66540342-F4ED-437D-B0F5-E1B0F7094284}" name="Sub Category" dataDxfId="75" dataCellStyle="Comma"/>
    <tableColumn id="5" xr3:uid="{00000000-0010-0000-0200-000005000000}" name="Total Amount" dataDxfId="74" dataCellStyle="Comma"/>
    <tableColumn id="3" xr3:uid="{00000000-0010-0000-0200-000003000000}" name="VAT" dataDxfId="73" dataCellStyle="Comma"/>
    <tableColumn id="7" xr3:uid="{829917FF-CB15-45DE-BC4D-DFC1F544BD7B}" name="VAT Total" dataDxfId="72">
      <calculatedColumnFormula>SUM($I$5:I5)</calculatedColumnFormula>
    </tableColumn>
    <tableColumn id="8" xr3:uid="{2B43E530-75E3-4935-8BDB-61861AB63F84}" name="Notes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nter G/L code and related information.  Check amounts on this table will drive the monthly expenses summary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Other" displayName="Other" ref="B4:H24" totalsRowShown="0" headerRowDxfId="70" dataDxfId="68" headerRowBorderDxfId="69">
  <autoFilter ref="B4:H2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Folio" dataDxfId="67" dataCellStyle="Comma"/>
    <tableColumn id="2" xr3:uid="{00000000-0010-0000-0300-000002000000}" name="Date" dataDxfId="66" dataCellStyle="Date"/>
    <tableColumn id="9" xr3:uid="{00000000-0010-0000-0300-000009000000}" name="Category" dataDxfId="65" dataCellStyle="Date"/>
    <tableColumn id="3" xr3:uid="{00000000-0010-0000-0300-000003000000}" name="Description" dataDxfId="64"/>
    <tableColumn id="4" xr3:uid="{00000000-0010-0000-0300-000004000000}" name="Amount" dataDxfId="63" dataCellStyle="Currency [0]"/>
    <tableColumn id="6" xr3:uid="{00000000-0010-0000-0300-000006000000}" name="Paid by" dataDxfId="62"/>
    <tableColumn id="5" xr3:uid="{E8F98718-CBA0-46D5-BEC2-B714763A2916}" name="Column1" dataDxfId="61"/>
  </tableColumns>
  <tableStyleInfo name="Charitables &amp; Sponsorships" showFirstColumn="0" showLastColumn="0" showRowStripes="1" showColumnStripes="0"/>
  <extLst>
    <ext xmlns:x14="http://schemas.microsoft.com/office/spreadsheetml/2009/9/main" uri="{504A1905-F514-4f6f-8877-14C23A59335A}">
      <x14:table altTextSummary="Enter G/L code, Date when Check Request Initiated, Requested by &amp; Payee names, Check Amount, Used for, Previous Year Contribution, Method of Distribution &amp; File Date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ToDateTable" displayName="YearToDateTable" ref="B4:J24" totalsRowCount="1" headerRowDxfId="60" dataDxfId="58" totalsRowDxfId="57" headerRowBorderDxfId="59" totalsRowBorderDxfId="56">
  <autoFilter ref="B4:J2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Nom Code" dataDxfId="55" totalsRowDxfId="54" dataCellStyle="Comma"/>
    <tableColumn id="2" xr3:uid="{00000000-0010-0000-0000-000002000000}" name="Account Title" dataDxfId="53" totalsRowDxfId="52"/>
    <tableColumn id="7" xr3:uid="{70A52E24-23A0-4D44-B206-B41EB414AE96}" name="Category" totalsRowFunction="custom" dataDxfId="51" totalsRowDxfId="50" dataCellStyle="Currency [0]">
      <totalsRowFormula>SUBTOTAL(109,[1]!YearToDateTable[BUDGET])</totalsRowFormula>
    </tableColumn>
    <tableColumn id="4" xr3:uid="{00000000-0010-0000-0000-000004000000}" name="BUDGET" totalsRowFunction="custom" dataDxfId="49" totalsRowDxfId="48" dataCellStyle="Currency [0]">
      <totalsRowFormula>SUBTOTAL(109,[1]!YearToDateTable[Actual])</totalsRowFormula>
    </tableColumn>
    <tableColumn id="3" xr3:uid="{00000000-0010-0000-0000-000003000000}" name="Actual" totalsRowFunction="custom" dataDxfId="47" totalsRowDxfId="46">
      <totalsRowFormula>[1]!YearToDateTable[[#Totals],[Actual]]/[1]!YearToDateTable[[#Totals],[BUDGET]]</totalsRowFormula>
    </tableColumn>
    <tableColumn id="6" xr3:uid="{00000000-0010-0000-0000-000006000000}" name=" £ Used" totalsRowFunction="custom" dataDxfId="45" totalsRowDxfId="44" dataCellStyle="Currency [0]">
      <calculatedColumnFormula>IF([1]!YearToDateTable[[#This Row],[BUDGET]]="","",[1]!YearToDateTable[[#This Row],[BUDGET]]-[1]!YearToDateTable[[#This Row],[Actual]])</calculatedColumnFormula>
      <totalsRowFormula>SUBTOTAL(109,[1]!YearToDateTable[Budget Remaining])</totalsRowFormula>
    </tableColumn>
    <tableColumn id="5" xr3:uid="{00000000-0010-0000-0000-000005000000}" name="Budget Remaining" dataDxfId="43" totalsRowDxfId="42" dataCellStyle="Currency [0]"/>
    <tableColumn id="8" xr3:uid="{8F9E2C97-16C6-47D4-987B-4FF450D37F31}" name="Category % Used" dataDxfId="41" totalsRowDxfId="40"/>
    <tableColumn id="9" xr3:uid="{2D22BE48-91F2-4E1E-8C1A-707A85C96335}" name="Column1" dataDxfId="39" totalsRowDxfId="38"/>
  </tableColumns>
  <tableStyleInfo name="YTD Budget Summary" showFirstColumn="0" showLastColumn="0" showRowStripes="1" showColumnStripes="0"/>
  <extLst>
    <ext xmlns:x14="http://schemas.microsoft.com/office/spreadsheetml/2009/9/main" uri="{504A1905-F514-4f6f-8877-14C23A59335A}">
      <x14:table altTextSummary="Enter G/L code, Account Title, and Budget in this table. Actual amount and remaining values and percent will be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F4A913A-1453-4E63-8213-6154ECB012E1}" name="MonthlyExpensesSummary7" displayName="MonthlyExpensesSummary7" ref="B6:P27" totalsRowCount="1" headerRowDxfId="37" headerRowBorderDxfId="36" tableBorderDxfId="35" totalsRowBorderDxfId="34">
  <autoFilter ref="B6:P26" xr:uid="{7F4A913A-1453-4E63-8213-6154ECB012E1}"/>
  <tableColumns count="15">
    <tableColumn id="1" xr3:uid="{35B7E296-715E-4919-BCAE-2FD6C24531AD}" name="Nom Code" totalsRowLabel="Total" dataDxfId="33" totalsRowDxfId="32" dataCellStyle="Comma"/>
    <tableColumn id="2" xr3:uid="{C0A7294E-2A7C-470B-8B3B-4BA593318693}" name="Sub-Category" dataDxfId="31" totalsRowDxfId="30"/>
    <tableColumn id="6" xr3:uid="{634B665E-EF70-48A4-BD73-BF303B2CAD32}" name="April" totalsRowFunction="custom" dataDxfId="29" totalsRowDxfId="28" dataCellStyle="Currency [0]">
      <totalsRowFormula>SUBTOTAL(109,[1]!MonthlyExpensesSummary[April])</totalsRowFormula>
    </tableColumn>
    <tableColumn id="7" xr3:uid="{D4EACAB9-3BF5-4BE8-ADA9-183252C71956}" name="May" totalsRowFunction="custom" dataDxfId="27" totalsRowDxfId="26" dataCellStyle="Currency [0]">
      <calculatedColumnFormula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calculatedColumnFormula>
      <totalsRowFormula>SUBTOTAL(109,[1]!MonthlyExpensesSummary[May])</totalsRowFormula>
    </tableColumn>
    <tableColumn id="8" xr3:uid="{CCDB9538-BCC4-4E76-BFD4-22418C925787}" name="June" totalsRowFunction="custom" dataDxfId="25" totalsRowDxfId="24" dataCellStyle="Currency [0]">
      <calculatedColumnFormula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calculatedColumnFormula>
      <totalsRowFormula>SUBTOTAL(109,[1]!MonthlyExpensesSummary[June])</totalsRowFormula>
    </tableColumn>
    <tableColumn id="9" xr3:uid="{67E70EF7-3909-46E0-9B13-B4D0B5D3DE1C}" name="July" totalsRowFunction="custom" dataDxfId="23" totalsRowDxfId="22" dataCellStyle="Currency [0]">
      <calculatedColumnFormula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calculatedColumnFormula>
      <totalsRowFormula>SUBTOTAL(109,[1]!MonthlyExpensesSummary[July])</totalsRowFormula>
    </tableColumn>
    <tableColumn id="10" xr3:uid="{0021ADB0-CD39-45E4-B886-DAC590C02E38}" name="Aug" totalsRowFunction="custom" dataDxfId="21" totalsRowDxfId="20" dataCellStyle="Currency [0]">
      <calculatedColumnFormula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calculatedColumnFormula>
      <totalsRowFormula>SUBTOTAL(109,[1]!MonthlyExpensesSummary[Aug])</totalsRowFormula>
    </tableColumn>
    <tableColumn id="11" xr3:uid="{AA68F535-1628-4B27-AC01-EDE7694BC2AB}" name="Sept" totalsRowFunction="custom" dataDxfId="19" totalsRowDxfId="18" dataCellStyle="Currency [0]">
      <calculatedColumnFormula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calculatedColumnFormula>
      <totalsRowFormula>SUBTOTAL(109,[1]!MonthlyExpensesSummary[Sept])</totalsRowFormula>
    </tableColumn>
    <tableColumn id="12" xr3:uid="{8308D074-7A05-4752-93A5-AF6D837735EE}" name="Oct" totalsRowFunction="custom" dataDxfId="17" totalsRowDxfId="16" dataCellStyle="Currency [0]">
      <calculatedColumnFormula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calculatedColumnFormula>
      <totalsRowFormula>SUBTOTAL(109,[1]!MonthlyExpensesSummary[Oct])</totalsRowFormula>
    </tableColumn>
    <tableColumn id="13" xr3:uid="{F779F577-E1BB-47F2-9094-C4D8759ECB63}" name="Nov" totalsRowFunction="custom" dataDxfId="15" totalsRowDxfId="14" dataCellStyle="Currency [0]">
      <calculatedColumnFormula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calculatedColumnFormula>
      <totalsRowFormula>SUBTOTAL(109,[1]!MonthlyExpensesSummary[Nov])</totalsRowFormula>
    </tableColumn>
    <tableColumn id="14" xr3:uid="{397D8ED2-28C6-40B4-B435-B57C13BA9AA1}" name="Dec" totalsRowFunction="custom" dataDxfId="13" totalsRowDxfId="12" dataCellStyle="Currency [0]">
      <calculatedColumnFormula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calculatedColumnFormula>
      <totalsRowFormula>SUBTOTAL(109,[1]!MonthlyExpensesSummary[Dec])</totalsRowFormula>
    </tableColumn>
    <tableColumn id="17" xr3:uid="{F1C9B5BA-EC2E-40F6-9FE3-0C65DC3F96C5}" name="January" totalsRowFunction="custom" dataDxfId="11" totalsRowDxfId="10" dataCellStyle="Currency [0]">
      <calculatedColumnFormula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calculatedColumnFormula>
      <totalsRowFormula>SUBTOTAL(109,[1]!MonthlyExpensesSummary[January])</totalsRowFormula>
    </tableColumn>
    <tableColumn id="18" xr3:uid="{7EA596F5-E3B9-42EA-8EFA-BC354BA09C62}" name="February" totalsRowFunction="custom" dataDxfId="9" totalsRowDxfId="8" dataCellStyle="Currency [0]">
      <totalsRowFormula>SUBTOTAL(109,[1]!MonthlyExpensesSummary[February])</totalsRowFormula>
    </tableColumn>
    <tableColumn id="19" xr3:uid="{DC217C34-B454-4FE3-99CD-54414AA8E353}" name="March" totalsRowFunction="custom" dataDxfId="7" totalsRowDxfId="6" dataCellStyle="Currency [0]">
      <totalsRowFormula>SUBTOTAL(109,[1]!MonthlyExpensesSummary[March])</totalsRowFormula>
    </tableColumn>
    <tableColumn id="15" xr3:uid="{1C683DAA-13BA-4915-8310-8F05E61AA75D}" name="Total" totalsRowFunction="custom" dataDxfId="5" totalsRowDxfId="4" dataCellStyle="Currency [0]">
      <calculatedColumnFormula>SUM([1]!MonthlyExpensesSummary[[#This Row],[April]:[March]])</calculatedColumnFormula>
      <totalsRowFormula>SUBTOTAL(109,[1]!MonthlyExpensesSummary[Total])</totalsRowFormula>
    </tableColumn>
  </tableColumns>
  <tableStyleInfo name="Monthly Expenses Summary" showFirstColumn="0" showLastColumn="0" showRowStripes="1" showColumnStripes="0"/>
  <extLst>
    <ext xmlns:x14="http://schemas.microsoft.com/office/spreadsheetml/2009/9/main" uri="{504A1905-F514-4f6f-8877-14C23A59335A}">
      <x14:table altTextSummary="Enter G/L code and account title in this table. Amount for each month and Total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General ledger">
      <a:dk1>
        <a:srgbClr val="3F3F3F"/>
      </a:dk1>
      <a:lt1>
        <a:srgbClr val="FFFFFF"/>
      </a:lt1>
      <a:dk2>
        <a:srgbClr val="23070B"/>
      </a:dk2>
      <a:lt2>
        <a:srgbClr val="F4F1E7"/>
      </a:lt2>
      <a:accent1>
        <a:srgbClr val="F9AC1E"/>
      </a:accent1>
      <a:accent2>
        <a:srgbClr val="7AB88E"/>
      </a:accent2>
      <a:accent3>
        <a:srgbClr val="F48C59"/>
      </a:accent3>
      <a:accent4>
        <a:srgbClr val="70A8B0"/>
      </a:accent4>
      <a:accent5>
        <a:srgbClr val="F7913D"/>
      </a:accent5>
      <a:accent6>
        <a:srgbClr val="935961"/>
      </a:accent6>
      <a:hlink>
        <a:srgbClr val="70A8B0"/>
      </a:hlink>
      <a:folHlink>
        <a:srgbClr val="967DA7"/>
      </a:folHlink>
    </a:clrScheme>
    <a:fontScheme name="Custom 45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9"/>
  <sheetViews>
    <sheetView showGridLines="0" tabSelected="1" view="pageBreakPreview" zoomScale="80" zoomScaleNormal="85" zoomScaleSheetLayoutView="80" workbookViewId="0">
      <pane ySplit="4" topLeftCell="A49" activePane="bottomLeft" state="frozen"/>
      <selection pane="bottomLeft" activeCell="M51" sqref="M51"/>
    </sheetView>
  </sheetViews>
  <sheetFormatPr defaultColWidth="8.75" defaultRowHeight="30" customHeight="1" x14ac:dyDescent="0.35"/>
  <cols>
    <col min="1" max="1" width="2.625" customWidth="1"/>
    <col min="2" max="2" width="21.875" customWidth="1"/>
    <col min="3" max="3" width="15.5" customWidth="1"/>
    <col min="4" max="4" width="24.125" customWidth="1"/>
    <col min="5" max="5" width="12.375" customWidth="1"/>
    <col min="6" max="6" width="29.375" customWidth="1"/>
    <col min="7" max="7" width="28.375" customWidth="1"/>
    <col min="8" max="8" width="17.5" customWidth="1"/>
    <col min="9" max="9" width="8.625" customWidth="1"/>
    <col min="10" max="10" width="9.5" customWidth="1"/>
    <col min="11" max="11" width="51" customWidth="1"/>
  </cols>
  <sheetData>
    <row r="1" spans="2:11" ht="42.6" customHeight="1" x14ac:dyDescent="0.35">
      <c r="H1" s="31">
        <f>SUM(ItemizedExpenses[Total Amount])</f>
        <v>15546.200000000004</v>
      </c>
      <c r="J1" s="191" t="b">
        <f>H3=YearToDateTable[[#Totals],[Actual]]</f>
        <v>0</v>
      </c>
      <c r="K1" s="192" t="e">
        <f>H3=#REF!</f>
        <v>#REF!</v>
      </c>
    </row>
    <row r="2" spans="2:11" ht="51.75" customHeight="1" x14ac:dyDescent="0.35">
      <c r="B2" s="39" t="s">
        <v>0</v>
      </c>
      <c r="C2" s="38"/>
      <c r="D2" s="38"/>
      <c r="E2" s="38"/>
      <c r="F2" s="38"/>
      <c r="G2" s="38"/>
      <c r="H2" s="38"/>
      <c r="I2" s="38"/>
    </row>
    <row r="3" spans="2:11" ht="30" customHeight="1" x14ac:dyDescent="0.35">
      <c r="B3" s="77" t="s">
        <v>1</v>
      </c>
      <c r="C3" s="36"/>
      <c r="D3" s="32"/>
      <c r="E3" s="36"/>
      <c r="F3" s="36"/>
      <c r="G3" s="179" t="s">
        <v>2</v>
      </c>
      <c r="H3" s="178">
        <f>SUM(ItemizedExpenses[Total Amount])</f>
        <v>15546.200000000004</v>
      </c>
      <c r="I3" s="36"/>
    </row>
    <row r="4" spans="2:11" ht="67.5" customHeight="1" x14ac:dyDescent="0.35">
      <c r="B4" s="61" t="s">
        <v>3</v>
      </c>
      <c r="C4" s="61" t="s">
        <v>4</v>
      </c>
      <c r="D4" s="61" t="s">
        <v>5</v>
      </c>
      <c r="E4" s="61" t="s">
        <v>6</v>
      </c>
      <c r="F4" s="61" t="s">
        <v>7</v>
      </c>
      <c r="G4" s="61" t="s">
        <v>8</v>
      </c>
      <c r="H4" s="61" t="s">
        <v>9</v>
      </c>
      <c r="I4" s="61" t="s">
        <v>10</v>
      </c>
      <c r="J4" s="63" t="s">
        <v>11</v>
      </c>
      <c r="K4" s="63" t="s">
        <v>12</v>
      </c>
    </row>
    <row r="5" spans="2:11" ht="22.15" customHeight="1" x14ac:dyDescent="0.35">
      <c r="B5" s="15">
        <v>45391</v>
      </c>
      <c r="C5" s="100" t="s">
        <v>13</v>
      </c>
      <c r="D5" s="9" t="s">
        <v>14</v>
      </c>
      <c r="E5" s="194">
        <v>3020</v>
      </c>
      <c r="F5" s="14" t="s">
        <v>15</v>
      </c>
      <c r="G5" s="14" t="s">
        <v>16</v>
      </c>
      <c r="H5" s="195">
        <v>90.97</v>
      </c>
      <c r="I5" s="193">
        <v>15.16</v>
      </c>
      <c r="J5" s="89">
        <f>SUM($I$5:I5)</f>
        <v>15.16</v>
      </c>
      <c r="K5" s="173" t="s">
        <v>17</v>
      </c>
    </row>
    <row r="6" spans="2:11" ht="22.15" customHeight="1" x14ac:dyDescent="0.35">
      <c r="B6" s="15">
        <v>45412</v>
      </c>
      <c r="C6" s="16" t="s">
        <v>18</v>
      </c>
      <c r="D6" s="16" t="s">
        <v>19</v>
      </c>
      <c r="E6" s="14">
        <v>1000</v>
      </c>
      <c r="F6" s="14" t="s">
        <v>20</v>
      </c>
      <c r="G6" s="14" t="s">
        <v>21</v>
      </c>
      <c r="H6" s="200">
        <v>448.08</v>
      </c>
      <c r="I6" s="90">
        <v>0</v>
      </c>
      <c r="J6" s="89">
        <f>SUM($I$5:I6)</f>
        <v>15.16</v>
      </c>
      <c r="K6" s="173" t="s">
        <v>22</v>
      </c>
    </row>
    <row r="7" spans="2:11" ht="22.15" customHeight="1" x14ac:dyDescent="0.35">
      <c r="B7" s="15">
        <v>45413</v>
      </c>
      <c r="C7" s="16" t="s">
        <v>18</v>
      </c>
      <c r="D7" s="9" t="s">
        <v>23</v>
      </c>
      <c r="E7" s="186">
        <v>1090</v>
      </c>
      <c r="F7" s="14" t="s">
        <v>20</v>
      </c>
      <c r="G7" s="14" t="s">
        <v>24</v>
      </c>
      <c r="H7" s="195">
        <v>60</v>
      </c>
      <c r="I7" s="187">
        <v>10</v>
      </c>
      <c r="J7" s="89">
        <f>SUM($I$5:I7)</f>
        <v>25.16</v>
      </c>
      <c r="K7" s="173" t="s">
        <v>25</v>
      </c>
    </row>
    <row r="8" spans="2:11" ht="22.15" customHeight="1" x14ac:dyDescent="0.35">
      <c r="B8" s="188">
        <v>45426</v>
      </c>
      <c r="C8" s="100" t="s">
        <v>13</v>
      </c>
      <c r="D8" s="9" t="s">
        <v>26</v>
      </c>
      <c r="E8" s="186">
        <v>1030</v>
      </c>
      <c r="F8" s="14" t="s">
        <v>20</v>
      </c>
      <c r="G8" s="14" t="s">
        <v>27</v>
      </c>
      <c r="H8" s="195">
        <v>59.14</v>
      </c>
      <c r="I8" s="187">
        <v>3.92</v>
      </c>
      <c r="J8" s="89">
        <f>SUM($I$5:I8)</f>
        <v>29.08</v>
      </c>
      <c r="K8" s="173" t="s">
        <v>28</v>
      </c>
    </row>
    <row r="9" spans="2:11" ht="22.15" customHeight="1" x14ac:dyDescent="0.35">
      <c r="B9" s="15">
        <v>45426</v>
      </c>
      <c r="C9" s="100" t="s">
        <v>13</v>
      </c>
      <c r="D9" s="9" t="s">
        <v>26</v>
      </c>
      <c r="E9" s="186">
        <v>1030</v>
      </c>
      <c r="F9" s="14" t="s">
        <v>20</v>
      </c>
      <c r="G9" s="14" t="s">
        <v>27</v>
      </c>
      <c r="H9" s="195">
        <v>14.99</v>
      </c>
      <c r="I9" s="187">
        <v>2.5</v>
      </c>
      <c r="J9" s="89">
        <f>SUM($I$5:I9)</f>
        <v>31.58</v>
      </c>
      <c r="K9" s="173" t="s">
        <v>28</v>
      </c>
    </row>
    <row r="10" spans="2:11" ht="40.9" customHeight="1" x14ac:dyDescent="0.35">
      <c r="B10" s="15">
        <v>45432</v>
      </c>
      <c r="C10" s="100" t="s">
        <v>18</v>
      </c>
      <c r="D10" s="9" t="s">
        <v>29</v>
      </c>
      <c r="E10" s="186">
        <v>3040</v>
      </c>
      <c r="F10" s="14" t="s">
        <v>15</v>
      </c>
      <c r="G10" s="14" t="s">
        <v>30</v>
      </c>
      <c r="H10" s="195">
        <v>504</v>
      </c>
      <c r="I10" s="187">
        <v>84</v>
      </c>
      <c r="J10" s="89">
        <f>SUM($I$5:I10)</f>
        <v>115.58</v>
      </c>
      <c r="K10" s="173" t="s">
        <v>31</v>
      </c>
    </row>
    <row r="11" spans="2:11" ht="22.15" customHeight="1" x14ac:dyDescent="0.35">
      <c r="B11" s="15">
        <v>45432</v>
      </c>
      <c r="C11" s="100" t="s">
        <v>18</v>
      </c>
      <c r="D11" s="9" t="s">
        <v>32</v>
      </c>
      <c r="E11" s="8">
        <v>1060</v>
      </c>
      <c r="F11" s="14" t="s">
        <v>20</v>
      </c>
      <c r="G11" s="14" t="s">
        <v>33</v>
      </c>
      <c r="H11" s="201">
        <v>710.85</v>
      </c>
      <c r="I11" s="91">
        <v>0</v>
      </c>
      <c r="J11" s="89">
        <f>SUM($I$5:I11)</f>
        <v>115.58</v>
      </c>
      <c r="K11" s="173" t="s">
        <v>33</v>
      </c>
    </row>
    <row r="12" spans="2:11" ht="22.15" customHeight="1" x14ac:dyDescent="0.35">
      <c r="B12" s="15">
        <v>45432</v>
      </c>
      <c r="C12" s="100" t="s">
        <v>18</v>
      </c>
      <c r="D12" s="9" t="s">
        <v>34</v>
      </c>
      <c r="E12" s="8">
        <v>1070</v>
      </c>
      <c r="F12" s="14" t="s">
        <v>20</v>
      </c>
      <c r="G12" s="14" t="s">
        <v>35</v>
      </c>
      <c r="H12" s="201">
        <v>84.89</v>
      </c>
      <c r="I12" s="91">
        <v>14.15</v>
      </c>
      <c r="J12" s="89">
        <f>SUM($I$5:I12)</f>
        <v>129.72999999999999</v>
      </c>
      <c r="K12" s="173" t="s">
        <v>36</v>
      </c>
    </row>
    <row r="13" spans="2:11" ht="22.15" customHeight="1" x14ac:dyDescent="0.35">
      <c r="B13" s="15">
        <v>45432</v>
      </c>
      <c r="C13" s="100" t="s">
        <v>18</v>
      </c>
      <c r="D13" s="9" t="s">
        <v>37</v>
      </c>
      <c r="E13" s="8">
        <v>1090</v>
      </c>
      <c r="F13" s="14" t="s">
        <v>20</v>
      </c>
      <c r="G13" s="14" t="s">
        <v>24</v>
      </c>
      <c r="H13" s="201">
        <v>383.26</v>
      </c>
      <c r="I13" s="91">
        <v>63.88</v>
      </c>
      <c r="J13" s="89">
        <f>SUM($I$5:I13)</f>
        <v>193.60999999999999</v>
      </c>
      <c r="K13" s="173" t="s">
        <v>25</v>
      </c>
    </row>
    <row r="14" spans="2:11" ht="22.15" customHeight="1" x14ac:dyDescent="0.35">
      <c r="B14" s="15">
        <v>45467</v>
      </c>
      <c r="C14" s="100" t="s">
        <v>18</v>
      </c>
      <c r="D14" s="9" t="s">
        <v>34</v>
      </c>
      <c r="E14" s="14">
        <v>1040</v>
      </c>
      <c r="F14" s="14" t="s">
        <v>20</v>
      </c>
      <c r="G14" s="14" t="s">
        <v>38</v>
      </c>
      <c r="H14" s="201">
        <v>48</v>
      </c>
      <c r="I14" s="91">
        <v>8</v>
      </c>
      <c r="J14" s="89">
        <f>SUM($I$5:I14)</f>
        <v>201.60999999999999</v>
      </c>
      <c r="K14" s="173" t="s">
        <v>39</v>
      </c>
    </row>
    <row r="15" spans="2:11" ht="22.15" customHeight="1" x14ac:dyDescent="0.35">
      <c r="B15" s="15">
        <v>45473</v>
      </c>
      <c r="C15" s="100" t="s">
        <v>18</v>
      </c>
      <c r="D15" s="9" t="s">
        <v>19</v>
      </c>
      <c r="E15" s="8">
        <v>1000</v>
      </c>
      <c r="F15" s="14" t="s">
        <v>20</v>
      </c>
      <c r="G15" s="14" t="s">
        <v>21</v>
      </c>
      <c r="H15" s="201">
        <v>448.08</v>
      </c>
      <c r="I15" s="91">
        <v>0</v>
      </c>
      <c r="J15" s="89">
        <f>SUM($I$5:I15)</f>
        <v>201.60999999999999</v>
      </c>
      <c r="K15" s="173" t="s">
        <v>40</v>
      </c>
    </row>
    <row r="16" spans="2:11" ht="22.15" customHeight="1" x14ac:dyDescent="0.35">
      <c r="B16" s="15">
        <v>45473</v>
      </c>
      <c r="C16" s="100" t="s">
        <v>18</v>
      </c>
      <c r="D16" s="9" t="s">
        <v>19</v>
      </c>
      <c r="E16" s="8">
        <v>1050</v>
      </c>
      <c r="F16" s="14" t="s">
        <v>20</v>
      </c>
      <c r="G16" s="14" t="s">
        <v>41</v>
      </c>
      <c r="H16" s="201">
        <v>63.84</v>
      </c>
      <c r="I16" s="91">
        <v>0</v>
      </c>
      <c r="J16" s="89">
        <f>SUM($I$5:I16)</f>
        <v>201.60999999999999</v>
      </c>
      <c r="K16" s="173" t="s">
        <v>42</v>
      </c>
    </row>
    <row r="17" spans="1:14" ht="22.15" customHeight="1" x14ac:dyDescent="0.35">
      <c r="B17" s="15">
        <v>45473</v>
      </c>
      <c r="C17" s="100" t="s">
        <v>18</v>
      </c>
      <c r="D17" s="9" t="s">
        <v>29</v>
      </c>
      <c r="E17" s="8">
        <v>3040</v>
      </c>
      <c r="F17" s="14" t="s">
        <v>15</v>
      </c>
      <c r="G17" s="14" t="s">
        <v>30</v>
      </c>
      <c r="H17" s="202">
        <v>504</v>
      </c>
      <c r="I17" s="91">
        <v>84</v>
      </c>
      <c r="J17" s="89">
        <f>SUM($I$5:I17)</f>
        <v>285.61</v>
      </c>
      <c r="K17" s="173" t="s">
        <v>31</v>
      </c>
    </row>
    <row r="18" spans="1:14" ht="22.15" customHeight="1" x14ac:dyDescent="0.35">
      <c r="B18" s="188">
        <v>45476</v>
      </c>
      <c r="C18" s="100" t="s">
        <v>18</v>
      </c>
      <c r="D18" s="185" t="s">
        <v>43</v>
      </c>
      <c r="E18" s="189">
        <v>3040</v>
      </c>
      <c r="F18" s="14" t="s">
        <v>15</v>
      </c>
      <c r="G18" s="14" t="s">
        <v>30</v>
      </c>
      <c r="H18" s="203">
        <v>300</v>
      </c>
      <c r="I18" s="190">
        <v>0</v>
      </c>
      <c r="J18" s="89">
        <f>SUM($I$5:I18)</f>
        <v>285.61</v>
      </c>
      <c r="K18" s="173" t="s">
        <v>44</v>
      </c>
      <c r="N18" t="s">
        <v>45</v>
      </c>
    </row>
    <row r="19" spans="1:14" ht="22.15" customHeight="1" x14ac:dyDescent="0.35">
      <c r="B19" s="188">
        <v>45476</v>
      </c>
      <c r="C19" s="100" t="s">
        <v>18</v>
      </c>
      <c r="D19" s="185" t="s">
        <v>43</v>
      </c>
      <c r="E19" s="186">
        <v>3040</v>
      </c>
      <c r="F19" s="14" t="s">
        <v>15</v>
      </c>
      <c r="G19" s="14" t="s">
        <v>30</v>
      </c>
      <c r="H19" s="195">
        <v>108</v>
      </c>
      <c r="I19" s="187">
        <v>18</v>
      </c>
      <c r="J19" s="89">
        <f>SUM($I$5:I19)</f>
        <v>303.61</v>
      </c>
      <c r="K19" s="173" t="s">
        <v>46</v>
      </c>
    </row>
    <row r="20" spans="1:14" ht="22.15" customHeight="1" x14ac:dyDescent="0.35">
      <c r="B20" s="188">
        <v>45484</v>
      </c>
      <c r="C20" s="100" t="s">
        <v>18</v>
      </c>
      <c r="D20" s="9" t="s">
        <v>29</v>
      </c>
      <c r="E20" s="186">
        <v>3040</v>
      </c>
      <c r="F20" s="14" t="s">
        <v>15</v>
      </c>
      <c r="G20" s="14" t="s">
        <v>30</v>
      </c>
      <c r="H20" s="195">
        <v>504</v>
      </c>
      <c r="I20" s="187">
        <v>84</v>
      </c>
      <c r="J20" s="89">
        <f>SUM($I$5:I20)</f>
        <v>387.61</v>
      </c>
      <c r="K20" s="173" t="s">
        <v>31</v>
      </c>
    </row>
    <row r="21" spans="1:14" ht="22.15" customHeight="1" x14ac:dyDescent="0.35">
      <c r="B21" s="188">
        <v>45484</v>
      </c>
      <c r="C21" s="100" t="s">
        <v>18</v>
      </c>
      <c r="D21" s="185" t="s">
        <v>47</v>
      </c>
      <c r="E21" s="189">
        <v>3030</v>
      </c>
      <c r="F21" s="14" t="s">
        <v>15</v>
      </c>
      <c r="G21" s="14" t="s">
        <v>48</v>
      </c>
      <c r="H21" s="203">
        <v>100</v>
      </c>
      <c r="I21" s="190">
        <v>0</v>
      </c>
      <c r="J21" s="89">
        <f>SUM($I$5:I21)</f>
        <v>387.61</v>
      </c>
      <c r="K21" s="173" t="s">
        <v>49</v>
      </c>
    </row>
    <row r="22" spans="1:14" ht="49.15" customHeight="1" x14ac:dyDescent="0.35">
      <c r="B22" s="15">
        <v>45492</v>
      </c>
      <c r="C22" s="100" t="s">
        <v>50</v>
      </c>
      <c r="D22" s="9" t="s">
        <v>51</v>
      </c>
      <c r="E22" s="186">
        <v>1070</v>
      </c>
      <c r="F22" s="14" t="s">
        <v>35</v>
      </c>
      <c r="G22" s="14" t="s">
        <v>35</v>
      </c>
      <c r="H22" s="195">
        <v>35</v>
      </c>
      <c r="I22" s="187">
        <v>0</v>
      </c>
      <c r="J22" s="89">
        <f>SUM($I$5:I22)</f>
        <v>387.61</v>
      </c>
      <c r="K22" s="173" t="s">
        <v>36</v>
      </c>
    </row>
    <row r="23" spans="1:14" ht="22.15" customHeight="1" x14ac:dyDescent="0.35">
      <c r="B23" s="188">
        <v>45520</v>
      </c>
      <c r="C23" s="174" t="s">
        <v>18</v>
      </c>
      <c r="D23" s="185" t="s">
        <v>29</v>
      </c>
      <c r="E23" s="189">
        <v>3040</v>
      </c>
      <c r="F23" s="14" t="s">
        <v>15</v>
      </c>
      <c r="G23" s="175" t="s">
        <v>30</v>
      </c>
      <c r="H23" s="203">
        <v>504</v>
      </c>
      <c r="I23" s="190">
        <v>84</v>
      </c>
      <c r="J23" s="89">
        <f>SUM($I$5:I23)</f>
        <v>471.61</v>
      </c>
      <c r="K23" s="173" t="s">
        <v>31</v>
      </c>
    </row>
    <row r="24" spans="1:14" ht="22.15" customHeight="1" x14ac:dyDescent="0.35">
      <c r="B24" s="188">
        <v>45520</v>
      </c>
      <c r="C24" s="174" t="s">
        <v>18</v>
      </c>
      <c r="D24" s="9" t="s">
        <v>52</v>
      </c>
      <c r="E24" s="186">
        <v>2020</v>
      </c>
      <c r="F24" s="175" t="s">
        <v>53</v>
      </c>
      <c r="G24" s="175" t="s">
        <v>54</v>
      </c>
      <c r="H24" s="195">
        <v>200</v>
      </c>
      <c r="I24" s="187">
        <v>0</v>
      </c>
      <c r="J24" s="89">
        <f>SUM($I$5:I24)</f>
        <v>471.61</v>
      </c>
      <c r="K24" s="173" t="s">
        <v>55</v>
      </c>
    </row>
    <row r="25" spans="1:14" ht="45" customHeight="1" x14ac:dyDescent="0.35">
      <c r="B25" s="188">
        <v>45536</v>
      </c>
      <c r="C25" s="174" t="s">
        <v>18</v>
      </c>
      <c r="D25" s="185" t="s">
        <v>19</v>
      </c>
      <c r="E25" s="189">
        <v>1000</v>
      </c>
      <c r="F25" s="175" t="s">
        <v>20</v>
      </c>
      <c r="G25" s="175" t="s">
        <v>21</v>
      </c>
      <c r="H25" s="203">
        <v>458.43</v>
      </c>
      <c r="I25" s="190">
        <v>0</v>
      </c>
      <c r="J25" s="89">
        <f>SUM($I$5:I25)</f>
        <v>471.61</v>
      </c>
      <c r="K25" s="173" t="s">
        <v>56</v>
      </c>
    </row>
    <row r="26" spans="1:14" ht="22.15" customHeight="1" x14ac:dyDescent="0.35">
      <c r="B26" s="188">
        <v>45561</v>
      </c>
      <c r="C26" s="174" t="s">
        <v>18</v>
      </c>
      <c r="D26" s="185" t="s">
        <v>29</v>
      </c>
      <c r="E26" s="189">
        <v>3040</v>
      </c>
      <c r="F26" s="175" t="s">
        <v>15</v>
      </c>
      <c r="G26" s="175" t="s">
        <v>30</v>
      </c>
      <c r="H26" s="203">
        <v>504</v>
      </c>
      <c r="I26" s="190">
        <v>84</v>
      </c>
      <c r="J26" s="89">
        <f>SUM($I$5:I26)</f>
        <v>555.61</v>
      </c>
      <c r="K26" s="173" t="s">
        <v>57</v>
      </c>
    </row>
    <row r="27" spans="1:14" ht="22.15" customHeight="1" x14ac:dyDescent="0.35">
      <c r="B27" s="188">
        <v>45574</v>
      </c>
      <c r="C27" s="174" t="s">
        <v>18</v>
      </c>
      <c r="D27" s="9" t="s">
        <v>58</v>
      </c>
      <c r="E27" s="186">
        <v>3010</v>
      </c>
      <c r="F27" s="175" t="s">
        <v>15</v>
      </c>
      <c r="G27" s="175" t="s">
        <v>59</v>
      </c>
      <c r="H27" s="195">
        <v>108</v>
      </c>
      <c r="I27" s="187">
        <v>18</v>
      </c>
      <c r="J27" s="89">
        <f>SUM($I$5:I27)</f>
        <v>573.61</v>
      </c>
      <c r="K27" s="173" t="s">
        <v>60</v>
      </c>
    </row>
    <row r="28" spans="1:14" ht="22.15" customHeight="1" x14ac:dyDescent="0.35">
      <c r="B28" s="188">
        <v>45574</v>
      </c>
      <c r="C28" s="174" t="s">
        <v>18</v>
      </c>
      <c r="D28" s="9" t="s">
        <v>19</v>
      </c>
      <c r="E28" s="186">
        <v>1000</v>
      </c>
      <c r="F28" s="175" t="s">
        <v>20</v>
      </c>
      <c r="G28" s="175" t="s">
        <v>21</v>
      </c>
      <c r="H28" s="195">
        <v>224.04</v>
      </c>
      <c r="I28" s="187">
        <v>0</v>
      </c>
      <c r="J28" s="89">
        <f>SUM($I$5:I28)</f>
        <v>573.61</v>
      </c>
      <c r="K28" s="173" t="s">
        <v>61</v>
      </c>
    </row>
    <row r="29" spans="1:14" ht="22.15" customHeight="1" x14ac:dyDescent="0.35">
      <c r="B29" s="188">
        <v>45585</v>
      </c>
      <c r="C29" s="174" t="s">
        <v>18</v>
      </c>
      <c r="D29" s="9" t="s">
        <v>29</v>
      </c>
      <c r="E29" s="186">
        <v>3040</v>
      </c>
      <c r="F29" s="175" t="s">
        <v>15</v>
      </c>
      <c r="G29" s="175" t="s">
        <v>30</v>
      </c>
      <c r="H29" s="195">
        <v>504</v>
      </c>
      <c r="I29" s="187">
        <v>84</v>
      </c>
      <c r="J29" s="89">
        <f>SUM($I$5:I29)</f>
        <v>657.61</v>
      </c>
      <c r="K29" s="173" t="s">
        <v>62</v>
      </c>
    </row>
    <row r="30" spans="1:14" ht="22.15" customHeight="1" x14ac:dyDescent="0.35">
      <c r="B30" s="188">
        <v>45596</v>
      </c>
      <c r="C30" s="174" t="s">
        <v>18</v>
      </c>
      <c r="D30" s="9" t="s">
        <v>19</v>
      </c>
      <c r="E30" s="186">
        <v>1000</v>
      </c>
      <c r="F30" s="175" t="s">
        <v>20</v>
      </c>
      <c r="G30" s="175" t="s">
        <v>21</v>
      </c>
      <c r="H30" s="195">
        <v>224.04</v>
      </c>
      <c r="I30" s="187">
        <v>0</v>
      </c>
      <c r="J30" s="89">
        <f>SUM($I$5:I30)</f>
        <v>657.61</v>
      </c>
      <c r="K30" s="173" t="s">
        <v>63</v>
      </c>
    </row>
    <row r="31" spans="1:14" ht="22.15" customHeight="1" x14ac:dyDescent="0.35">
      <c r="B31" s="188">
        <v>45589</v>
      </c>
      <c r="C31" s="174" t="s">
        <v>13</v>
      </c>
      <c r="D31" s="185" t="s">
        <v>26</v>
      </c>
      <c r="E31" s="189">
        <v>1030</v>
      </c>
      <c r="F31" s="175" t="s">
        <v>20</v>
      </c>
      <c r="G31" s="175" t="s">
        <v>27</v>
      </c>
      <c r="H31" s="203">
        <v>26.99</v>
      </c>
      <c r="I31" s="190">
        <v>0</v>
      </c>
      <c r="J31" s="89">
        <f>SUM($I$5:I31)</f>
        <v>657.61</v>
      </c>
      <c r="K31" s="173" t="s">
        <v>64</v>
      </c>
    </row>
    <row r="32" spans="1:14" ht="30" customHeight="1" x14ac:dyDescent="0.35">
      <c r="A32" s="184"/>
      <c r="B32" s="188">
        <v>45607</v>
      </c>
      <c r="C32" s="174" t="s">
        <v>18</v>
      </c>
      <c r="D32" s="185" t="s">
        <v>29</v>
      </c>
      <c r="E32" s="189">
        <v>3040</v>
      </c>
      <c r="F32" s="175" t="s">
        <v>15</v>
      </c>
      <c r="G32" s="175" t="s">
        <v>30</v>
      </c>
      <c r="H32" s="203">
        <v>504</v>
      </c>
      <c r="I32" s="190">
        <v>84</v>
      </c>
      <c r="J32" s="89">
        <f>SUM($I$5:I32)</f>
        <v>741.61</v>
      </c>
      <c r="K32" s="173" t="s">
        <v>31</v>
      </c>
    </row>
    <row r="33" spans="2:11" ht="30" customHeight="1" x14ac:dyDescent="0.35">
      <c r="B33" s="188">
        <v>45607</v>
      </c>
      <c r="C33" s="174" t="s">
        <v>18</v>
      </c>
      <c r="D33" s="185" t="s">
        <v>65</v>
      </c>
      <c r="E33" s="189">
        <v>2010</v>
      </c>
      <c r="F33" s="175" t="s">
        <v>53</v>
      </c>
      <c r="G33" s="175" t="s">
        <v>66</v>
      </c>
      <c r="H33" s="203">
        <v>75</v>
      </c>
      <c r="I33" s="190">
        <v>0</v>
      </c>
      <c r="J33" s="89">
        <f>SUM($I$5:I33)</f>
        <v>741.61</v>
      </c>
      <c r="K33" s="173" t="s">
        <v>66</v>
      </c>
    </row>
    <row r="34" spans="2:11" ht="30" customHeight="1" x14ac:dyDescent="0.35">
      <c r="B34" s="188">
        <v>45626</v>
      </c>
      <c r="C34" s="174" t="s">
        <v>18</v>
      </c>
      <c r="D34" s="185" t="s">
        <v>19</v>
      </c>
      <c r="E34" s="189">
        <v>1000</v>
      </c>
      <c r="F34" s="175" t="s">
        <v>20</v>
      </c>
      <c r="G34" s="175" t="s">
        <v>21</v>
      </c>
      <c r="H34" s="203">
        <v>283.56</v>
      </c>
      <c r="I34" s="190">
        <v>0</v>
      </c>
      <c r="J34" s="89">
        <f>SUM($I$5:I34)</f>
        <v>741.61</v>
      </c>
      <c r="K34" s="173" t="s">
        <v>67</v>
      </c>
    </row>
    <row r="35" spans="2:11" ht="30" customHeight="1" x14ac:dyDescent="0.35">
      <c r="B35" s="188">
        <v>45635</v>
      </c>
      <c r="C35" s="174" t="s">
        <v>13</v>
      </c>
      <c r="D35" s="185" t="s">
        <v>68</v>
      </c>
      <c r="E35" s="189">
        <v>1070</v>
      </c>
      <c r="F35" s="175" t="s">
        <v>35</v>
      </c>
      <c r="G35" s="175" t="s">
        <v>35</v>
      </c>
      <c r="H35" s="203">
        <v>85</v>
      </c>
      <c r="I35" s="190">
        <v>0</v>
      </c>
      <c r="J35" s="89">
        <f>SUM($I$5:I35)</f>
        <v>741.61</v>
      </c>
      <c r="K35" s="173" t="s">
        <v>36</v>
      </c>
    </row>
    <row r="36" spans="2:11" ht="30" customHeight="1" x14ac:dyDescent="0.35">
      <c r="B36" s="15">
        <v>45665</v>
      </c>
      <c r="C36" s="100" t="s">
        <v>18</v>
      </c>
      <c r="D36" s="9" t="s">
        <v>69</v>
      </c>
      <c r="E36" s="186">
        <v>1090</v>
      </c>
      <c r="F36" s="14" t="s">
        <v>20</v>
      </c>
      <c r="G36" s="14" t="s">
        <v>24</v>
      </c>
      <c r="H36" s="240">
        <v>19.989999999999998</v>
      </c>
      <c r="I36" s="187">
        <v>0</v>
      </c>
      <c r="J36" s="89">
        <f>SUM($I$5:I36)</f>
        <v>741.61</v>
      </c>
      <c r="K36" s="173" t="s">
        <v>25</v>
      </c>
    </row>
    <row r="37" spans="2:11" ht="30" customHeight="1" x14ac:dyDescent="0.35">
      <c r="B37" s="15">
        <v>45665</v>
      </c>
      <c r="C37" s="100" t="s">
        <v>18</v>
      </c>
      <c r="D37" s="9" t="s">
        <v>70</v>
      </c>
      <c r="E37" s="186">
        <v>2010</v>
      </c>
      <c r="F37" s="14" t="s">
        <v>53</v>
      </c>
      <c r="G37" s="14" t="s">
        <v>71</v>
      </c>
      <c r="H37" s="240">
        <v>60</v>
      </c>
      <c r="I37" s="187">
        <v>10</v>
      </c>
      <c r="J37" s="89">
        <f>SUM($I$5:I37)</f>
        <v>751.61</v>
      </c>
      <c r="K37" s="173" t="s">
        <v>72</v>
      </c>
    </row>
    <row r="38" spans="2:11" ht="30" customHeight="1" x14ac:dyDescent="0.35">
      <c r="B38" s="15">
        <v>45665</v>
      </c>
      <c r="C38" s="100" t="s">
        <v>18</v>
      </c>
      <c r="D38" s="9" t="s">
        <v>73</v>
      </c>
      <c r="E38" s="186">
        <v>2010</v>
      </c>
      <c r="F38" s="14" t="s">
        <v>53</v>
      </c>
      <c r="G38" s="14" t="s">
        <v>71</v>
      </c>
      <c r="H38" s="240">
        <v>45.93</v>
      </c>
      <c r="I38" s="193">
        <v>0.72</v>
      </c>
      <c r="J38" s="89">
        <f>SUM($I$5:I38)</f>
        <v>752.33</v>
      </c>
      <c r="K38" s="173" t="s">
        <v>72</v>
      </c>
    </row>
    <row r="39" spans="2:11" ht="30" customHeight="1" x14ac:dyDescent="0.35">
      <c r="B39" s="15">
        <v>45665</v>
      </c>
      <c r="C39" s="100" t="s">
        <v>18</v>
      </c>
      <c r="D39" s="9" t="s">
        <v>19</v>
      </c>
      <c r="E39" s="186">
        <v>1000</v>
      </c>
      <c r="F39" s="14" t="s">
        <v>20</v>
      </c>
      <c r="G39" s="14" t="s">
        <v>21</v>
      </c>
      <c r="H39" s="240">
        <v>138.32</v>
      </c>
      <c r="I39" s="187">
        <v>0</v>
      </c>
      <c r="J39" s="89">
        <f>SUM($I$5:I39)</f>
        <v>752.33</v>
      </c>
      <c r="K39" s="173" t="s">
        <v>74</v>
      </c>
    </row>
    <row r="40" spans="2:11" ht="30" customHeight="1" x14ac:dyDescent="0.35">
      <c r="B40" s="15">
        <v>45685</v>
      </c>
      <c r="C40" s="100" t="s">
        <v>18</v>
      </c>
      <c r="D40" s="9" t="s">
        <v>43</v>
      </c>
      <c r="E40" s="186">
        <v>1090</v>
      </c>
      <c r="F40" s="14" t="s">
        <v>24</v>
      </c>
      <c r="G40" s="14" t="s">
        <v>24</v>
      </c>
      <c r="H40" s="240">
        <v>599</v>
      </c>
      <c r="I40" s="187">
        <v>99.83</v>
      </c>
      <c r="J40" s="89">
        <f>SUM($I$5:I40)</f>
        <v>852.16000000000008</v>
      </c>
      <c r="K40" s="173" t="s">
        <v>75</v>
      </c>
    </row>
    <row r="41" spans="2:11" ht="30" customHeight="1" x14ac:dyDescent="0.35">
      <c r="B41" s="15">
        <v>45685</v>
      </c>
      <c r="C41" s="100" t="s">
        <v>18</v>
      </c>
      <c r="D41" s="9" t="s">
        <v>43</v>
      </c>
      <c r="E41" s="186">
        <v>1090</v>
      </c>
      <c r="F41" s="14" t="s">
        <v>24</v>
      </c>
      <c r="G41" s="14" t="s">
        <v>24</v>
      </c>
      <c r="H41" s="240">
        <v>90</v>
      </c>
      <c r="I41" s="187">
        <v>15</v>
      </c>
      <c r="J41" s="89">
        <f>SUM($I$5:I41)</f>
        <v>867.16000000000008</v>
      </c>
      <c r="K41" s="173" t="s">
        <v>76</v>
      </c>
    </row>
    <row r="42" spans="2:11" ht="30" customHeight="1" x14ac:dyDescent="0.35">
      <c r="B42" s="15">
        <v>45685</v>
      </c>
      <c r="C42" s="100" t="s">
        <v>18</v>
      </c>
      <c r="D42" s="9" t="s">
        <v>77</v>
      </c>
      <c r="E42" s="186">
        <v>1030</v>
      </c>
      <c r="F42" s="14" t="s">
        <v>20</v>
      </c>
      <c r="G42" s="14" t="s">
        <v>27</v>
      </c>
      <c r="H42" s="240">
        <v>53.5</v>
      </c>
      <c r="I42" s="187">
        <v>8.92</v>
      </c>
      <c r="J42" s="89">
        <f>SUM($I$5:I42)</f>
        <v>876.08</v>
      </c>
      <c r="K42" s="173" t="s">
        <v>78</v>
      </c>
    </row>
    <row r="43" spans="2:11" ht="30" customHeight="1" x14ac:dyDescent="0.35">
      <c r="B43" s="15">
        <v>45685</v>
      </c>
      <c r="C43" s="100" t="s">
        <v>18</v>
      </c>
      <c r="D43" s="9" t="s">
        <v>77</v>
      </c>
      <c r="E43" s="186">
        <v>1030</v>
      </c>
      <c r="F43" s="14" t="s">
        <v>20</v>
      </c>
      <c r="G43" s="14" t="s">
        <v>27</v>
      </c>
      <c r="H43" s="240">
        <v>11</v>
      </c>
      <c r="I43" s="187">
        <v>2.2000000000000002</v>
      </c>
      <c r="J43" s="89">
        <f>SUM($I$5:I43)</f>
        <v>878.28000000000009</v>
      </c>
      <c r="K43" s="173" t="s">
        <v>79</v>
      </c>
    </row>
    <row r="44" spans="2:11" ht="30" customHeight="1" x14ac:dyDescent="0.35">
      <c r="B44" s="15">
        <v>45685</v>
      </c>
      <c r="C44" s="100" t="s">
        <v>18</v>
      </c>
      <c r="D44" s="9" t="s">
        <v>80</v>
      </c>
      <c r="E44" s="186">
        <v>1040</v>
      </c>
      <c r="F44" s="14" t="s">
        <v>81</v>
      </c>
      <c r="G44" s="14" t="s">
        <v>38</v>
      </c>
      <c r="H44" s="195">
        <v>0</v>
      </c>
      <c r="I44" s="193">
        <v>0</v>
      </c>
      <c r="J44" s="89">
        <f>SUM($I$5:I44)</f>
        <v>878.28000000000009</v>
      </c>
      <c r="K44" s="173" t="s">
        <v>82</v>
      </c>
    </row>
    <row r="45" spans="2:11" ht="30" customHeight="1" x14ac:dyDescent="0.35">
      <c r="B45" s="15">
        <v>45685</v>
      </c>
      <c r="C45" s="100" t="s">
        <v>18</v>
      </c>
      <c r="D45" s="9" t="s">
        <v>83</v>
      </c>
      <c r="E45" s="186">
        <v>3030</v>
      </c>
      <c r="F45" s="14" t="s">
        <v>15</v>
      </c>
      <c r="G45" s="14" t="s">
        <v>48</v>
      </c>
      <c r="H45" s="240">
        <v>15.99</v>
      </c>
      <c r="I45" s="187">
        <v>2.67</v>
      </c>
      <c r="J45" s="89">
        <f>SUM($I$5:I45)</f>
        <v>880.95</v>
      </c>
      <c r="K45" s="173" t="s">
        <v>84</v>
      </c>
    </row>
    <row r="46" spans="2:11" ht="30" customHeight="1" x14ac:dyDescent="0.35">
      <c r="B46" s="15">
        <v>45685</v>
      </c>
      <c r="C46" s="100" t="s">
        <v>18</v>
      </c>
      <c r="D46" s="9" t="s">
        <v>69</v>
      </c>
      <c r="E46" s="186">
        <v>1000</v>
      </c>
      <c r="F46" s="14" t="s">
        <v>20</v>
      </c>
      <c r="G46" s="14" t="s">
        <v>21</v>
      </c>
      <c r="H46" s="240">
        <v>249.52</v>
      </c>
      <c r="I46" s="187">
        <v>0</v>
      </c>
      <c r="J46" s="89">
        <f>SUM($I$5:I46)</f>
        <v>880.95</v>
      </c>
      <c r="K46" s="173" t="s">
        <v>85</v>
      </c>
    </row>
    <row r="47" spans="2:11" ht="30" customHeight="1" x14ac:dyDescent="0.35">
      <c r="B47" s="15">
        <v>45685</v>
      </c>
      <c r="C47" s="100" t="s">
        <v>18</v>
      </c>
      <c r="D47" s="9" t="s">
        <v>69</v>
      </c>
      <c r="E47" s="186">
        <v>1000</v>
      </c>
      <c r="F47" s="14" t="s">
        <v>20</v>
      </c>
      <c r="G47" s="14" t="s">
        <v>21</v>
      </c>
      <c r="H47" s="240">
        <v>249.52</v>
      </c>
      <c r="I47" s="187">
        <v>0</v>
      </c>
      <c r="J47" s="89">
        <f>SUM($I$5:I47)</f>
        <v>880.95</v>
      </c>
      <c r="K47" s="173" t="s">
        <v>86</v>
      </c>
    </row>
    <row r="48" spans="2:11" ht="30" customHeight="1" x14ac:dyDescent="0.35">
      <c r="B48" s="15">
        <v>45715</v>
      </c>
      <c r="C48" s="100" t="s">
        <v>18</v>
      </c>
      <c r="D48" s="9" t="s">
        <v>87</v>
      </c>
      <c r="E48" s="186">
        <v>1080</v>
      </c>
      <c r="F48" s="14" t="s">
        <v>88</v>
      </c>
      <c r="G48" s="14" t="s">
        <v>88</v>
      </c>
      <c r="H48" s="240">
        <v>671</v>
      </c>
      <c r="I48" s="187">
        <v>0</v>
      </c>
      <c r="J48" s="89">
        <f>SUM($I$5:I48)</f>
        <v>880.95</v>
      </c>
      <c r="K48" s="173" t="s">
        <v>89</v>
      </c>
    </row>
    <row r="49" spans="2:13" ht="30" customHeight="1" x14ac:dyDescent="0.35">
      <c r="B49" s="15">
        <v>45715</v>
      </c>
      <c r="C49" s="100" t="s">
        <v>18</v>
      </c>
      <c r="D49" s="9" t="s">
        <v>90</v>
      </c>
      <c r="E49" s="186">
        <v>1080</v>
      </c>
      <c r="F49" s="14" t="s">
        <v>88</v>
      </c>
      <c r="G49" s="14" t="s">
        <v>88</v>
      </c>
      <c r="H49" s="240">
        <v>224</v>
      </c>
      <c r="I49" s="187">
        <v>0</v>
      </c>
      <c r="J49" s="89">
        <f>SUM($I$5:I49)</f>
        <v>880.95</v>
      </c>
      <c r="K49" s="173" t="s">
        <v>89</v>
      </c>
    </row>
    <row r="50" spans="2:13" ht="30" customHeight="1" x14ac:dyDescent="0.35">
      <c r="B50" s="15">
        <v>45715</v>
      </c>
      <c r="C50" s="100" t="s">
        <v>18</v>
      </c>
      <c r="D50" s="9" t="s">
        <v>91</v>
      </c>
      <c r="E50" s="186">
        <v>1080</v>
      </c>
      <c r="F50" s="14" t="s">
        <v>88</v>
      </c>
      <c r="G50" s="14" t="s">
        <v>88</v>
      </c>
      <c r="H50" s="240">
        <v>224</v>
      </c>
      <c r="I50" s="187">
        <v>0</v>
      </c>
      <c r="J50" s="89">
        <f>SUM($I$5:I50)</f>
        <v>880.95</v>
      </c>
      <c r="K50" s="173" t="s">
        <v>89</v>
      </c>
    </row>
    <row r="51" spans="2:13" ht="30" customHeight="1" x14ac:dyDescent="0.35">
      <c r="B51" s="15">
        <v>45715</v>
      </c>
      <c r="C51" s="100" t="s">
        <v>18</v>
      </c>
      <c r="D51" s="9" t="s">
        <v>83</v>
      </c>
      <c r="E51" s="186">
        <v>1080</v>
      </c>
      <c r="F51" s="14" t="s">
        <v>88</v>
      </c>
      <c r="G51" s="14" t="s">
        <v>88</v>
      </c>
      <c r="H51" s="240">
        <v>224</v>
      </c>
      <c r="I51" s="187">
        <v>0</v>
      </c>
      <c r="J51" s="89">
        <f>SUM($I$5:I51)</f>
        <v>880.95</v>
      </c>
      <c r="K51" s="173" t="s">
        <v>89</v>
      </c>
    </row>
    <row r="52" spans="2:13" ht="30" customHeight="1" x14ac:dyDescent="0.35">
      <c r="B52" s="15">
        <v>45715</v>
      </c>
      <c r="C52" s="100" t="s">
        <v>18</v>
      </c>
      <c r="D52" s="9" t="s">
        <v>77</v>
      </c>
      <c r="E52" s="186">
        <v>1080</v>
      </c>
      <c r="F52" s="14" t="s">
        <v>88</v>
      </c>
      <c r="G52" s="14" t="s">
        <v>88</v>
      </c>
      <c r="H52" s="240">
        <v>224</v>
      </c>
      <c r="I52" s="187">
        <v>0</v>
      </c>
      <c r="J52" s="89">
        <f>SUM($I$5:I52)</f>
        <v>880.95</v>
      </c>
      <c r="K52" s="173" t="s">
        <v>89</v>
      </c>
      <c r="M52" s="197"/>
    </row>
    <row r="53" spans="2:13" ht="30" customHeight="1" x14ac:dyDescent="0.35">
      <c r="B53" s="188">
        <v>45715</v>
      </c>
      <c r="C53" s="100" t="s">
        <v>18</v>
      </c>
      <c r="D53" s="185" t="s">
        <v>69</v>
      </c>
      <c r="E53" s="189">
        <v>1000</v>
      </c>
      <c r="F53" s="175" t="s">
        <v>20</v>
      </c>
      <c r="G53" s="175" t="s">
        <v>21</v>
      </c>
      <c r="H53" s="203">
        <v>249.52</v>
      </c>
      <c r="I53" s="187">
        <v>0</v>
      </c>
      <c r="J53" s="89">
        <f>SUM($I$5:I53)</f>
        <v>880.95</v>
      </c>
      <c r="K53" s="173" t="s">
        <v>92</v>
      </c>
    </row>
    <row r="54" spans="2:13" ht="30" customHeight="1" x14ac:dyDescent="0.35">
      <c r="B54" s="241">
        <v>45741</v>
      </c>
      <c r="C54" s="100" t="s">
        <v>18</v>
      </c>
      <c r="D54" s="242" t="s">
        <v>69</v>
      </c>
      <c r="E54" s="243">
        <v>1000</v>
      </c>
      <c r="F54" s="209" t="s">
        <v>20</v>
      </c>
      <c r="G54" s="209" t="s">
        <v>21</v>
      </c>
      <c r="H54" s="244">
        <v>249.52</v>
      </c>
      <c r="I54" s="245">
        <v>0</v>
      </c>
      <c r="J54" s="89">
        <f>SUM($I$5:I54)</f>
        <v>880.95</v>
      </c>
      <c r="K54" s="173" t="s">
        <v>93</v>
      </c>
    </row>
    <row r="55" spans="2:13" ht="30" customHeight="1" x14ac:dyDescent="0.35">
      <c r="B55" s="15">
        <v>45747</v>
      </c>
      <c r="C55" s="100" t="s">
        <v>18</v>
      </c>
      <c r="D55" s="246" t="s">
        <v>83</v>
      </c>
      <c r="E55" s="247">
        <v>3030</v>
      </c>
      <c r="F55" s="14" t="s">
        <v>15</v>
      </c>
      <c r="G55" s="14" t="s">
        <v>48</v>
      </c>
      <c r="H55" s="248">
        <v>24.53</v>
      </c>
      <c r="I55" s="187">
        <v>4.09</v>
      </c>
      <c r="J55" s="89">
        <f>SUM($I$5:I55)</f>
        <v>885.04000000000008</v>
      </c>
      <c r="K55" s="173" t="s">
        <v>94</v>
      </c>
    </row>
    <row r="56" spans="2:13" ht="30" customHeight="1" x14ac:dyDescent="0.35">
      <c r="B56" s="15">
        <v>45747</v>
      </c>
      <c r="C56" s="100" t="s">
        <v>18</v>
      </c>
      <c r="D56" s="16" t="s">
        <v>95</v>
      </c>
      <c r="E56" s="186">
        <v>3030</v>
      </c>
      <c r="F56" s="14" t="s">
        <v>15</v>
      </c>
      <c r="G56" s="14" t="s">
        <v>48</v>
      </c>
      <c r="H56" s="240">
        <v>3592.7</v>
      </c>
      <c r="I56" s="187">
        <v>598.78</v>
      </c>
      <c r="J56" s="89">
        <f>SUM($I$5:I56)</f>
        <v>1483.8200000000002</v>
      </c>
      <c r="K56" s="173" t="s">
        <v>96</v>
      </c>
    </row>
    <row r="57" spans="2:13" ht="30" customHeight="1" x14ac:dyDescent="0.35">
      <c r="B57" s="15">
        <v>45747</v>
      </c>
      <c r="C57" s="100" t="s">
        <v>18</v>
      </c>
      <c r="D57" s="9" t="s">
        <v>80</v>
      </c>
      <c r="E57" s="186">
        <v>1040</v>
      </c>
      <c r="F57" s="14" t="s">
        <v>81</v>
      </c>
      <c r="G57" s="14" t="s">
        <v>38</v>
      </c>
      <c r="H57" s="240">
        <v>90</v>
      </c>
      <c r="I57" s="187">
        <v>15</v>
      </c>
      <c r="J57" s="89">
        <f>SUM($I$5:I57)</f>
        <v>1498.8200000000002</v>
      </c>
      <c r="K57" s="173" t="s">
        <v>97</v>
      </c>
    </row>
    <row r="58" spans="2:13" ht="30" customHeight="1" x14ac:dyDescent="0.35">
      <c r="B58" s="15">
        <v>45747</v>
      </c>
      <c r="C58" s="100" t="s">
        <v>18</v>
      </c>
      <c r="D58" s="9" t="s">
        <v>69</v>
      </c>
      <c r="E58" s="186">
        <v>1040</v>
      </c>
      <c r="F58" s="14" t="s">
        <v>81</v>
      </c>
      <c r="G58" s="14" t="s">
        <v>38</v>
      </c>
      <c r="H58" s="240">
        <v>72</v>
      </c>
      <c r="I58" s="187">
        <v>0</v>
      </c>
      <c r="J58" s="89">
        <f>SUM($I$5:I58)</f>
        <v>1498.8200000000002</v>
      </c>
      <c r="K58" s="173" t="s">
        <v>98</v>
      </c>
    </row>
    <row r="59" spans="2:13" ht="30" customHeight="1" x14ac:dyDescent="0.35">
      <c r="B59" s="15">
        <v>45747</v>
      </c>
      <c r="C59" s="100" t="s">
        <v>18</v>
      </c>
      <c r="D59" s="9" t="s">
        <v>99</v>
      </c>
      <c r="E59" s="186" t="s">
        <v>100</v>
      </c>
      <c r="F59" s="14" t="s">
        <v>99</v>
      </c>
      <c r="G59" s="14" t="s">
        <v>99</v>
      </c>
      <c r="H59" s="240">
        <v>0</v>
      </c>
      <c r="I59" s="187">
        <v>0</v>
      </c>
      <c r="J59" s="89">
        <f>SUM($I$5:I59)</f>
        <v>1498.8200000000002</v>
      </c>
      <c r="K59" s="173" t="s">
        <v>101</v>
      </c>
    </row>
  </sheetData>
  <phoneticPr fontId="12" type="noConversion"/>
  <dataValidations xWindow="189" yWindow="588" count="11">
    <dataValidation allowBlank="1" showInputMessage="1" showErrorMessage="1" prompt="Enter General Ledger code in this column under this heading" sqref="E4:H5" xr:uid="{00000000-0002-0000-0200-000001000000}"/>
    <dataValidation allowBlank="1" showInputMessage="1" showErrorMessage="1" prompt="Enter Invoice Date in this column under this heading" sqref="B4:C5" xr:uid="{00000000-0002-0000-0200-000002000000}"/>
    <dataValidation allowBlank="1" showInputMessage="1" showErrorMessage="1" prompt="Enter Invoice number in this column under this heading" sqref="I4:I5" xr:uid="{00000000-0002-0000-0200-000003000000}"/>
    <dataValidation allowBlank="1" showInputMessage="1" showErrorMessage="1" prompt="Enter Check Amount in this column under this heading" sqref="H4:H5" xr:uid="{00000000-0002-0000-0200-000005000000}"/>
    <dataValidation allowBlank="1" showInputMessage="1" showErrorMessage="1" prompt="Enter Payee name in this column under this heading" sqref="D4:D5" xr:uid="{00000000-0002-0000-0200-000006000000}"/>
    <dataValidation allowBlank="1" showInputMessage="1" showErrorMessage="1" prompt="Navigation link. Select to go to MONTHLY EXPENSES SUMMARY" sqref="E1:H1" xr:uid="{00000000-0002-0000-0200-00000B000000}"/>
    <dataValidation allowBlank="1" showInputMessage="1" showErrorMessage="1" prompt="Navigation link is in this cell. Select to go to CHARITABLES &amp; SPONSORSHIPS worksheet" sqref="B1:C1" xr:uid="{00000000-0002-0000-0200-00000C000000}"/>
    <dataValidation allowBlank="1" showInputMessage="1" showErrorMessage="1" prompt="Enter Requested by name in this column under this heading" sqref="C4:C5" xr:uid="{00000000-0002-0000-0200-000004000000}"/>
    <dataValidation allowBlank="1" showInputMessage="1" showErrorMessage="1" prompt="Title of this worksheet is in this cell. Slicer to filter table by Requested By is in cell B3 and a slicer to filter table by Payee is in cell G3" sqref="B2:I2" xr:uid="{00000000-0002-0000-0200-00000A000000}"/>
    <dataValidation allowBlank="1" showInputMessage="1" showErrorMessage="1" prompt="Create Itemized Expenses in this worksheet. Enter details in Itemized Expenses table. Navigation links in cells B1 and C1 go to Previous and Next worksheet" sqref="A1:D1" xr:uid="{00000000-0002-0000-0200-000000000000}"/>
    <dataValidation type="list" allowBlank="1" showInputMessage="1" showErrorMessage="1" sqref="E6:E21 E23:E31 G6:G21 G23:G31" xr:uid="{900C64FF-0B14-481A-87FA-B042F16F71EA}">
      <formula1>#REF!</formula1>
    </dataValidation>
  </dataValidations>
  <printOptions horizontalCentered="1"/>
  <pageMargins left="0.4" right="0.4" top="0.4" bottom="0.6" header="0.3" footer="0.3"/>
  <pageSetup scale="60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4283-F848-41E3-9E7B-E052991C8171}">
  <dimension ref="A1:I47"/>
  <sheetViews>
    <sheetView zoomScale="70" zoomScaleNormal="70" workbookViewId="0">
      <selection activeCell="A25" sqref="A25"/>
    </sheetView>
  </sheetViews>
  <sheetFormatPr defaultRowHeight="17.25" x14ac:dyDescent="0.35"/>
  <cols>
    <col min="2" max="2" width="15" customWidth="1"/>
    <col min="7" max="7" width="12.625" customWidth="1"/>
  </cols>
  <sheetData>
    <row r="1" spans="1:9" ht="18" x14ac:dyDescent="0.25">
      <c r="A1" s="211" t="s">
        <v>102</v>
      </c>
      <c r="B1" s="212"/>
      <c r="C1" s="212"/>
      <c r="D1" s="212"/>
      <c r="E1" s="212"/>
      <c r="F1" s="213"/>
      <c r="G1" s="213"/>
      <c r="H1" s="212"/>
      <c r="I1" s="212"/>
    </row>
    <row r="2" spans="1:9" x14ac:dyDescent="0.35">
      <c r="A2" s="249" t="s">
        <v>103</v>
      </c>
      <c r="B2" s="249"/>
      <c r="C2" s="249"/>
      <c r="D2" s="249"/>
      <c r="E2" s="249"/>
      <c r="F2" s="249"/>
      <c r="G2" s="249"/>
      <c r="H2" s="249"/>
      <c r="I2" s="249"/>
    </row>
    <row r="3" spans="1:9" x14ac:dyDescent="0.35">
      <c r="A3" s="249"/>
      <c r="B3" s="249"/>
      <c r="C3" s="249"/>
      <c r="D3" s="249"/>
      <c r="E3" s="249"/>
      <c r="F3" s="249"/>
      <c r="G3" s="249"/>
      <c r="H3" s="249"/>
      <c r="I3" s="249"/>
    </row>
    <row r="4" spans="1:9" ht="18" x14ac:dyDescent="0.4">
      <c r="A4" s="239"/>
      <c r="B4" s="239"/>
      <c r="C4" s="239"/>
      <c r="D4" s="239"/>
      <c r="E4" s="239"/>
      <c r="F4" s="239"/>
      <c r="G4" s="239"/>
      <c r="H4" s="239"/>
      <c r="I4" s="239"/>
    </row>
    <row r="5" spans="1:9" x14ac:dyDescent="0.2">
      <c r="A5" s="214" t="s">
        <v>104</v>
      </c>
      <c r="B5" s="250" t="s">
        <v>105</v>
      </c>
      <c r="C5" s="251"/>
      <c r="D5" s="251"/>
      <c r="E5" s="251"/>
      <c r="F5" s="251"/>
      <c r="G5" s="252"/>
      <c r="H5" s="214"/>
      <c r="I5" s="214"/>
    </row>
    <row r="6" spans="1:9" x14ac:dyDescent="0.2">
      <c r="A6" s="214"/>
      <c r="B6" s="214"/>
      <c r="C6" s="214"/>
      <c r="D6" s="214"/>
      <c r="E6" s="214"/>
      <c r="F6" s="215"/>
      <c r="G6" s="215"/>
      <c r="H6" s="214"/>
      <c r="I6" s="214"/>
    </row>
    <row r="7" spans="1:9" x14ac:dyDescent="0.2">
      <c r="A7" s="214" t="s">
        <v>106</v>
      </c>
      <c r="B7" s="214"/>
      <c r="C7" s="214"/>
      <c r="D7" s="250" t="s">
        <v>14</v>
      </c>
      <c r="E7" s="251"/>
      <c r="F7" s="251"/>
      <c r="G7" s="252"/>
      <c r="H7" s="214"/>
      <c r="I7" s="214"/>
    </row>
    <row r="8" spans="1:9" x14ac:dyDescent="0.2">
      <c r="A8" s="214"/>
      <c r="B8" s="214"/>
      <c r="C8" s="214"/>
      <c r="D8" s="214"/>
      <c r="E8" s="214"/>
      <c r="F8" s="215"/>
      <c r="G8" s="215"/>
      <c r="H8" s="214"/>
      <c r="I8" s="214"/>
    </row>
    <row r="9" spans="1:9" x14ac:dyDescent="0.2">
      <c r="A9" s="216" t="s">
        <v>107</v>
      </c>
      <c r="B9" s="216"/>
      <c r="C9" s="216"/>
      <c r="D9" s="216"/>
      <c r="E9" s="214"/>
      <c r="F9" s="215"/>
      <c r="G9" s="215"/>
      <c r="H9" s="214"/>
      <c r="I9" s="214"/>
    </row>
    <row r="10" spans="1:9" x14ac:dyDescent="0.2">
      <c r="A10" s="214"/>
      <c r="B10" s="214"/>
      <c r="C10" s="214"/>
      <c r="D10" s="214"/>
      <c r="E10" s="214"/>
      <c r="F10" s="215"/>
      <c r="G10" s="215"/>
      <c r="H10" s="214"/>
      <c r="I10" s="214"/>
    </row>
    <row r="11" spans="1:9" x14ac:dyDescent="0.2">
      <c r="A11" s="214" t="s">
        <v>108</v>
      </c>
      <c r="B11" s="253" t="s">
        <v>109</v>
      </c>
      <c r="C11" s="254"/>
      <c r="D11" s="254"/>
      <c r="E11" s="254"/>
      <c r="F11" s="254"/>
      <c r="G11" s="255"/>
      <c r="H11" s="214"/>
      <c r="I11" s="214"/>
    </row>
    <row r="12" spans="1:9" x14ac:dyDescent="0.2">
      <c r="A12" s="214"/>
      <c r="B12" s="214"/>
      <c r="C12" s="214"/>
      <c r="D12" s="214"/>
      <c r="E12" s="214"/>
      <c r="F12" s="215"/>
      <c r="G12" s="215"/>
      <c r="H12" s="214"/>
      <c r="I12" s="214"/>
    </row>
    <row r="13" spans="1:9" x14ac:dyDescent="0.2">
      <c r="A13" s="214" t="s">
        <v>110</v>
      </c>
      <c r="B13" s="217">
        <v>45841</v>
      </c>
      <c r="C13" s="214"/>
      <c r="D13" s="214"/>
      <c r="E13" s="214"/>
      <c r="F13" s="215"/>
      <c r="G13" s="215"/>
      <c r="H13" s="214"/>
      <c r="I13" s="214"/>
    </row>
    <row r="14" spans="1:9" x14ac:dyDescent="0.2">
      <c r="A14" s="214"/>
      <c r="B14" s="214"/>
      <c r="C14" s="214"/>
      <c r="D14" s="214"/>
      <c r="E14" s="214"/>
      <c r="F14" s="215"/>
      <c r="G14" s="215"/>
      <c r="H14" s="214"/>
      <c r="I14" s="214"/>
    </row>
    <row r="15" spans="1:9" x14ac:dyDescent="0.2">
      <c r="A15" s="214"/>
      <c r="B15" s="214"/>
      <c r="C15" s="214"/>
      <c r="D15" s="214"/>
      <c r="E15" s="214"/>
      <c r="F15" s="215" t="s">
        <v>111</v>
      </c>
      <c r="G15" s="215" t="s">
        <v>111</v>
      </c>
      <c r="H15" s="214"/>
      <c r="I15" s="214"/>
    </row>
    <row r="16" spans="1:9" x14ac:dyDescent="0.2">
      <c r="A16" s="216" t="s">
        <v>112</v>
      </c>
      <c r="B16" s="216"/>
      <c r="C16" s="216"/>
      <c r="D16" s="216"/>
      <c r="E16" s="216"/>
      <c r="F16" s="218"/>
      <c r="G16" s="218"/>
      <c r="H16" s="216"/>
      <c r="I16" s="216"/>
    </row>
    <row r="17" spans="1:9" x14ac:dyDescent="0.2">
      <c r="A17" s="214"/>
      <c r="B17" s="219" t="s">
        <v>113</v>
      </c>
      <c r="C17" s="214"/>
      <c r="D17" s="214"/>
      <c r="E17" s="214"/>
      <c r="F17" s="220">
        <v>4553.1000000000004</v>
      </c>
      <c r="G17" s="215"/>
      <c r="H17" s="214"/>
      <c r="I17" s="214"/>
    </row>
    <row r="18" spans="1:9" x14ac:dyDescent="0.2">
      <c r="A18" s="214"/>
      <c r="B18" s="219" t="s">
        <v>114</v>
      </c>
      <c r="C18" s="214"/>
      <c r="D18" s="214"/>
      <c r="E18" s="214"/>
      <c r="F18" s="220">
        <v>6193.41</v>
      </c>
      <c r="G18" s="215"/>
      <c r="H18" s="214"/>
      <c r="I18" s="214"/>
    </row>
    <row r="19" spans="1:9" x14ac:dyDescent="0.2">
      <c r="A19" s="214"/>
      <c r="B19" s="219"/>
      <c r="C19" s="214"/>
      <c r="D19" s="214"/>
      <c r="E19" s="214"/>
      <c r="F19" s="220"/>
      <c r="G19" s="215"/>
      <c r="H19" s="214"/>
      <c r="I19" s="214"/>
    </row>
    <row r="20" spans="1:9" x14ac:dyDescent="0.2">
      <c r="A20" s="214"/>
      <c r="B20" s="219"/>
      <c r="C20" s="214"/>
      <c r="D20" s="214"/>
      <c r="E20" s="214"/>
      <c r="F20" s="220"/>
      <c r="G20" s="215"/>
      <c r="H20" s="214"/>
      <c r="I20" s="214"/>
    </row>
    <row r="21" spans="1:9" x14ac:dyDescent="0.2">
      <c r="A21" s="221"/>
      <c r="B21" s="219"/>
      <c r="C21" s="214"/>
      <c r="D21" s="214"/>
      <c r="E21" s="214"/>
      <c r="F21" s="220"/>
      <c r="G21" s="215"/>
      <c r="H21" s="214"/>
      <c r="I21" s="214"/>
    </row>
    <row r="22" spans="1:9" x14ac:dyDescent="0.2">
      <c r="A22" s="214"/>
      <c r="B22" s="219"/>
      <c r="C22" s="214"/>
      <c r="D22" s="214"/>
      <c r="E22" s="214"/>
      <c r="F22" s="220"/>
      <c r="G22" s="215"/>
      <c r="H22" s="214"/>
      <c r="I22" s="214"/>
    </row>
    <row r="23" spans="1:9" x14ac:dyDescent="0.2">
      <c r="A23" s="214"/>
      <c r="B23" s="219"/>
      <c r="C23" s="214"/>
      <c r="D23" s="214"/>
      <c r="E23" s="214"/>
      <c r="F23" s="220"/>
      <c r="G23" s="215"/>
      <c r="H23" s="214"/>
      <c r="I23" s="214"/>
    </row>
    <row r="24" spans="1:9" x14ac:dyDescent="0.2">
      <c r="A24" s="214"/>
      <c r="B24" s="219"/>
      <c r="C24" s="214"/>
      <c r="D24" s="214"/>
      <c r="E24" s="214"/>
      <c r="F24" s="222"/>
      <c r="G24" s="223"/>
      <c r="H24" s="214"/>
      <c r="I24" s="214"/>
    </row>
    <row r="25" spans="1:9" x14ac:dyDescent="0.2">
      <c r="A25" s="214"/>
      <c r="B25" s="214"/>
      <c r="C25" s="214"/>
      <c r="D25" s="214"/>
      <c r="E25" s="214"/>
      <c r="F25" s="224"/>
      <c r="G25" s="223">
        <f>SUM(F17:F24)</f>
        <v>10746.51</v>
      </c>
      <c r="H25" s="214"/>
      <c r="I25" s="214"/>
    </row>
    <row r="26" spans="1:9" x14ac:dyDescent="0.2">
      <c r="A26" s="214"/>
      <c r="B26" s="214"/>
      <c r="C26" s="214"/>
      <c r="D26" s="214"/>
      <c r="E26" s="214"/>
      <c r="F26" s="215"/>
      <c r="G26" s="215"/>
      <c r="H26" s="214"/>
      <c r="I26" s="214"/>
    </row>
    <row r="27" spans="1:9" x14ac:dyDescent="0.2">
      <c r="A27" s="214" t="s">
        <v>115</v>
      </c>
      <c r="B27" s="214"/>
      <c r="C27" s="214"/>
      <c r="D27" s="214"/>
      <c r="E27" s="214"/>
      <c r="F27" s="215"/>
      <c r="G27" s="215">
        <v>0</v>
      </c>
      <c r="H27" s="214"/>
      <c r="I27" s="214"/>
    </row>
    <row r="28" spans="1:9" x14ac:dyDescent="0.2">
      <c r="A28" s="214"/>
      <c r="B28" s="214"/>
      <c r="C28" s="214"/>
      <c r="D28" s="214"/>
      <c r="E28" s="214"/>
      <c r="F28" s="215"/>
      <c r="G28" s="215"/>
      <c r="H28" s="214"/>
      <c r="I28" s="214"/>
    </row>
    <row r="29" spans="1:9" x14ac:dyDescent="0.2">
      <c r="A29" s="214" t="s">
        <v>116</v>
      </c>
      <c r="B29" s="214"/>
      <c r="C29" s="214"/>
      <c r="D29" s="214"/>
      <c r="E29" s="214"/>
      <c r="F29" s="225"/>
      <c r="G29" s="215"/>
      <c r="H29" s="214"/>
      <c r="I29" s="214"/>
    </row>
    <row r="30" spans="1:9" x14ac:dyDescent="0.2">
      <c r="A30" s="214"/>
      <c r="B30" s="226">
        <v>164</v>
      </c>
      <c r="C30" s="216"/>
      <c r="D30" s="216"/>
      <c r="E30" s="216"/>
      <c r="F30" s="227">
        <v>-249.52</v>
      </c>
      <c r="G30" s="215"/>
      <c r="H30" s="214"/>
      <c r="I30" s="214"/>
    </row>
    <row r="31" spans="1:9" x14ac:dyDescent="0.2">
      <c r="A31" s="214"/>
      <c r="B31" s="226">
        <v>165</v>
      </c>
      <c r="C31" s="216"/>
      <c r="D31" s="216"/>
      <c r="E31" s="216"/>
      <c r="F31" s="227">
        <v>-249.52</v>
      </c>
      <c r="G31" s="215"/>
      <c r="H31" s="214"/>
      <c r="I31" s="214"/>
    </row>
    <row r="32" spans="1:9" x14ac:dyDescent="0.2">
      <c r="A32" s="214"/>
      <c r="B32" s="226">
        <v>171</v>
      </c>
      <c r="C32" s="216"/>
      <c r="D32" s="216"/>
      <c r="E32" s="216"/>
      <c r="F32" s="227">
        <v>-249.52</v>
      </c>
      <c r="G32" s="215"/>
      <c r="H32" s="214"/>
      <c r="I32" s="214"/>
    </row>
    <row r="33" spans="1:9" x14ac:dyDescent="0.2">
      <c r="A33" s="214"/>
      <c r="B33" s="226">
        <v>172</v>
      </c>
      <c r="C33" s="216"/>
      <c r="D33" s="216"/>
      <c r="E33" s="216"/>
      <c r="F33" s="227">
        <v>-249.52</v>
      </c>
      <c r="G33" s="215"/>
      <c r="H33" s="214"/>
      <c r="I33" s="214"/>
    </row>
    <row r="34" spans="1:9" x14ac:dyDescent="0.2">
      <c r="A34" s="221"/>
      <c r="B34" s="226">
        <v>173</v>
      </c>
      <c r="C34" s="216"/>
      <c r="D34" s="216"/>
      <c r="E34" s="216"/>
      <c r="F34" s="227">
        <v>-24.53</v>
      </c>
      <c r="G34" s="215"/>
      <c r="H34" s="214"/>
      <c r="I34" s="214"/>
    </row>
    <row r="35" spans="1:9" x14ac:dyDescent="0.2">
      <c r="A35" s="214"/>
      <c r="B35" s="226">
        <v>175</v>
      </c>
      <c r="C35" s="216"/>
      <c r="D35" s="216"/>
      <c r="E35" s="216"/>
      <c r="F35" s="227">
        <v>-3592.7</v>
      </c>
      <c r="G35" s="215"/>
      <c r="H35" s="214"/>
      <c r="I35" s="214"/>
    </row>
    <row r="36" spans="1:9" x14ac:dyDescent="0.2">
      <c r="A36" s="214"/>
      <c r="B36" s="226">
        <v>176</v>
      </c>
      <c r="C36" s="216"/>
      <c r="D36" s="216"/>
      <c r="E36" s="216"/>
      <c r="F36" s="227">
        <v>-90</v>
      </c>
      <c r="G36" s="215"/>
      <c r="H36" s="214"/>
      <c r="I36" s="214"/>
    </row>
    <row r="37" spans="1:9" x14ac:dyDescent="0.2">
      <c r="A37" s="214"/>
      <c r="B37" s="226">
        <v>177</v>
      </c>
      <c r="C37" s="216"/>
      <c r="D37" s="216"/>
      <c r="E37" s="216"/>
      <c r="F37" s="227">
        <v>-72</v>
      </c>
      <c r="G37" s="215"/>
      <c r="H37" s="214"/>
      <c r="I37" s="214"/>
    </row>
    <row r="38" spans="1:9" x14ac:dyDescent="0.2">
      <c r="A38" s="214"/>
      <c r="B38" s="214"/>
      <c r="C38" s="214"/>
      <c r="D38" s="214"/>
      <c r="E38" s="214"/>
      <c r="F38" s="224"/>
      <c r="G38" s="228">
        <f>SUM(F30:F37)</f>
        <v>-4777.3099999999995</v>
      </c>
      <c r="H38" s="214"/>
      <c r="I38" s="214"/>
    </row>
    <row r="39" spans="1:9" x14ac:dyDescent="0.2">
      <c r="A39" s="214" t="s">
        <v>117</v>
      </c>
      <c r="B39" s="214"/>
      <c r="C39" s="214"/>
      <c r="D39" s="214"/>
      <c r="E39" s="214"/>
      <c r="F39" s="215"/>
      <c r="G39" s="215"/>
      <c r="H39" s="214"/>
      <c r="I39" s="214"/>
    </row>
    <row r="40" spans="1:9" x14ac:dyDescent="0.2">
      <c r="A40" s="214"/>
      <c r="B40" s="219">
        <v>0</v>
      </c>
      <c r="C40" s="214"/>
      <c r="D40" s="214"/>
      <c r="E40" s="214"/>
      <c r="F40" s="220">
        <v>0</v>
      </c>
      <c r="G40" s="215"/>
      <c r="H40" s="214"/>
      <c r="I40" s="214"/>
    </row>
    <row r="41" spans="1:9" x14ac:dyDescent="0.2">
      <c r="A41" s="214"/>
      <c r="B41" s="219"/>
      <c r="C41" s="214"/>
      <c r="D41" s="214"/>
      <c r="E41" s="214"/>
      <c r="F41" s="220"/>
      <c r="G41" s="215"/>
      <c r="H41" s="214"/>
      <c r="I41" s="214"/>
    </row>
    <row r="42" spans="1:9" x14ac:dyDescent="0.2">
      <c r="A42" s="214"/>
      <c r="B42" s="219"/>
      <c r="C42" s="214"/>
      <c r="D42" s="214"/>
      <c r="E42" s="214"/>
      <c r="F42" s="220"/>
      <c r="G42" s="215"/>
      <c r="H42" s="214"/>
      <c r="I42" s="214"/>
    </row>
    <row r="43" spans="1:9" x14ac:dyDescent="0.2">
      <c r="A43" s="214"/>
      <c r="B43" s="214"/>
      <c r="C43" s="214"/>
      <c r="D43" s="214"/>
      <c r="E43" s="214"/>
      <c r="F43" s="224"/>
      <c r="G43" s="224">
        <f>SUM(F40:F42)</f>
        <v>0</v>
      </c>
      <c r="H43" s="214"/>
      <c r="I43" s="214"/>
    </row>
    <row r="44" spans="1:9" x14ac:dyDescent="0.2">
      <c r="A44" s="214"/>
      <c r="B44" s="214"/>
      <c r="C44" s="214"/>
      <c r="D44" s="214"/>
      <c r="E44" s="214"/>
      <c r="F44" s="215"/>
      <c r="G44" s="215"/>
      <c r="H44" s="214"/>
      <c r="I44" s="214"/>
    </row>
    <row r="45" spans="1:9" ht="18" thickBot="1" x14ac:dyDescent="0.25">
      <c r="A45" s="216" t="s">
        <v>118</v>
      </c>
      <c r="B45" s="216"/>
      <c r="C45" s="216"/>
      <c r="D45" s="216"/>
      <c r="E45" s="216"/>
      <c r="F45" s="218"/>
      <c r="G45" s="229">
        <f>G25+G27+G38+G43</f>
        <v>5969.2000000000007</v>
      </c>
      <c r="H45" s="216"/>
      <c r="I45" s="214"/>
    </row>
    <row r="46" spans="1:9" ht="18" thickTop="1" x14ac:dyDescent="0.2">
      <c r="A46" s="214"/>
      <c r="B46" s="214"/>
      <c r="C46" s="214"/>
      <c r="D46" s="214"/>
      <c r="E46" s="214"/>
      <c r="F46" s="215"/>
      <c r="G46" s="215"/>
      <c r="H46" s="214"/>
      <c r="I46" s="214"/>
    </row>
    <row r="47" spans="1:9" x14ac:dyDescent="0.2">
      <c r="A47" s="214"/>
      <c r="B47" s="214"/>
      <c r="C47" s="214"/>
      <c r="D47" s="214"/>
      <c r="E47" s="214"/>
      <c r="F47" s="215"/>
      <c r="G47" s="215"/>
      <c r="H47" s="214"/>
      <c r="I47" s="214"/>
    </row>
  </sheetData>
  <mergeCells count="4">
    <mergeCell ref="A2:I3"/>
    <mergeCell ref="B5:G5"/>
    <mergeCell ref="D7:G7"/>
    <mergeCell ref="B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27"/>
  <sheetViews>
    <sheetView showGridLines="0" view="pageBreakPreview" zoomScale="60" zoomScaleNormal="100" workbookViewId="0">
      <pane ySplit="4" topLeftCell="A5" activePane="bottomLeft" state="frozen"/>
      <selection pane="bottomLeft" activeCell="L8" sqref="L8"/>
    </sheetView>
  </sheetViews>
  <sheetFormatPr defaultColWidth="8.75" defaultRowHeight="30" customHeight="1" x14ac:dyDescent="0.35"/>
  <cols>
    <col min="1" max="1" width="2.625" customWidth="1"/>
    <col min="2" max="2" width="12.375" customWidth="1"/>
    <col min="3" max="3" width="23.125" customWidth="1"/>
    <col min="4" max="4" width="15.5" customWidth="1"/>
    <col min="5" max="5" width="22.375" customWidth="1"/>
    <col min="6" max="6" width="17.375" customWidth="1"/>
    <col min="7" max="7" width="21.5" customWidth="1"/>
    <col min="8" max="8" width="68.375" customWidth="1"/>
    <col min="11" max="11" width="10.875" bestFit="1" customWidth="1"/>
    <col min="12" max="12" width="17" customWidth="1"/>
  </cols>
  <sheetData>
    <row r="1" spans="2:14" ht="42.6" customHeight="1" x14ac:dyDescent="0.35">
      <c r="C1" s="2" t="s">
        <v>119</v>
      </c>
      <c r="E1" s="87" t="s">
        <v>120</v>
      </c>
      <c r="F1" s="88">
        <f>SUM(Other[Amount])</f>
        <v>13242.240000000002</v>
      </c>
    </row>
    <row r="2" spans="2:14" ht="52.5" customHeight="1" x14ac:dyDescent="0.35">
      <c r="B2" s="76" t="s">
        <v>121</v>
      </c>
      <c r="C2" s="33"/>
      <c r="D2" s="33"/>
      <c r="E2" s="33"/>
      <c r="F2" s="33"/>
      <c r="G2" s="33"/>
    </row>
    <row r="3" spans="2:14" ht="25.15" customHeight="1" x14ac:dyDescent="0.35">
      <c r="B3" s="78" t="s">
        <v>122</v>
      </c>
      <c r="C3" s="77" t="s">
        <v>1</v>
      </c>
      <c r="D3" s="37"/>
      <c r="E3" s="36"/>
      <c r="F3" s="36"/>
      <c r="G3" s="37"/>
    </row>
    <row r="4" spans="2:14" ht="41.25" customHeight="1" x14ac:dyDescent="0.35">
      <c r="B4" s="62" t="s">
        <v>123</v>
      </c>
      <c r="C4" s="62" t="s">
        <v>122</v>
      </c>
      <c r="D4" s="62" t="s">
        <v>7</v>
      </c>
      <c r="E4" s="62" t="s">
        <v>124</v>
      </c>
      <c r="F4" s="62" t="s">
        <v>125</v>
      </c>
      <c r="G4" s="62" t="s">
        <v>126</v>
      </c>
      <c r="H4" s="208" t="s">
        <v>127</v>
      </c>
    </row>
    <row r="5" spans="2:14" ht="30" customHeight="1" x14ac:dyDescent="0.35">
      <c r="B5" s="230" t="s">
        <v>128</v>
      </c>
      <c r="C5" s="10">
        <v>45396</v>
      </c>
      <c r="D5" s="11" t="s">
        <v>129</v>
      </c>
      <c r="E5" s="29" t="s">
        <v>130</v>
      </c>
      <c r="F5" s="204">
        <v>6277.5</v>
      </c>
      <c r="G5" s="11" t="s">
        <v>131</v>
      </c>
      <c r="H5" s="210"/>
    </row>
    <row r="6" spans="2:14" ht="30" customHeight="1" x14ac:dyDescent="0.35">
      <c r="B6" s="231" t="s">
        <v>132</v>
      </c>
      <c r="C6" s="12">
        <v>45399</v>
      </c>
      <c r="D6" s="13" t="s">
        <v>129</v>
      </c>
      <c r="E6" s="30" t="s">
        <v>130</v>
      </c>
      <c r="F6" s="205">
        <v>140.5</v>
      </c>
      <c r="G6" s="13" t="s">
        <v>131</v>
      </c>
      <c r="H6" s="210"/>
    </row>
    <row r="7" spans="2:14" ht="30" customHeight="1" x14ac:dyDescent="0.35">
      <c r="B7" s="232" t="s">
        <v>133</v>
      </c>
      <c r="C7" s="12">
        <v>45412</v>
      </c>
      <c r="D7" s="13" t="s">
        <v>134</v>
      </c>
      <c r="E7" s="13" t="s">
        <v>135</v>
      </c>
      <c r="F7" s="205">
        <v>6.05</v>
      </c>
      <c r="G7" s="13" t="s">
        <v>136</v>
      </c>
      <c r="H7" s="210"/>
    </row>
    <row r="8" spans="2:14" ht="30" customHeight="1" x14ac:dyDescent="0.35">
      <c r="B8" s="232" t="s">
        <v>137</v>
      </c>
      <c r="C8" s="12">
        <v>45443</v>
      </c>
      <c r="D8" s="13" t="s">
        <v>134</v>
      </c>
      <c r="E8" s="13" t="s">
        <v>135</v>
      </c>
      <c r="F8" s="205">
        <v>6.25</v>
      </c>
      <c r="G8" s="13" t="s">
        <v>136</v>
      </c>
      <c r="H8" s="210"/>
      <c r="K8" s="197"/>
    </row>
    <row r="9" spans="2:14" ht="30" customHeight="1" x14ac:dyDescent="0.35">
      <c r="B9" s="232" t="s">
        <v>138</v>
      </c>
      <c r="C9" s="12">
        <v>45471</v>
      </c>
      <c r="D9" s="13" t="s">
        <v>134</v>
      </c>
      <c r="E9" s="13" t="s">
        <v>135</v>
      </c>
      <c r="F9" s="205">
        <v>6.06</v>
      </c>
      <c r="G9" s="13" t="s">
        <v>136</v>
      </c>
      <c r="H9" s="210"/>
    </row>
    <row r="10" spans="2:14" ht="30" customHeight="1" x14ac:dyDescent="0.35">
      <c r="B10" s="232" t="s">
        <v>139</v>
      </c>
      <c r="C10" s="12">
        <v>45492</v>
      </c>
      <c r="D10" s="13" t="s">
        <v>140</v>
      </c>
      <c r="E10" s="13" t="s">
        <v>140</v>
      </c>
      <c r="F10" s="205">
        <v>343.21</v>
      </c>
      <c r="G10" s="13" t="s">
        <v>136</v>
      </c>
      <c r="H10" s="210"/>
      <c r="L10" s="197"/>
    </row>
    <row r="11" spans="2:14" ht="30" customHeight="1" x14ac:dyDescent="0.35">
      <c r="B11" s="232" t="s">
        <v>141</v>
      </c>
      <c r="C11" s="12">
        <v>45504</v>
      </c>
      <c r="D11" s="13" t="s">
        <v>134</v>
      </c>
      <c r="E11" s="13" t="s">
        <v>135</v>
      </c>
      <c r="F11" s="205">
        <v>6.27</v>
      </c>
      <c r="G11" s="13" t="s">
        <v>136</v>
      </c>
      <c r="H11" s="210"/>
    </row>
    <row r="12" spans="2:14" ht="30" customHeight="1" x14ac:dyDescent="0.35">
      <c r="B12" s="232" t="s">
        <v>142</v>
      </c>
      <c r="C12" s="12">
        <v>45534</v>
      </c>
      <c r="D12" s="13" t="s">
        <v>134</v>
      </c>
      <c r="E12" s="13" t="s">
        <v>135</v>
      </c>
      <c r="F12" s="205">
        <v>6.27</v>
      </c>
      <c r="G12" s="13" t="s">
        <v>136</v>
      </c>
      <c r="H12" s="210"/>
    </row>
    <row r="13" spans="2:14" ht="30" customHeight="1" x14ac:dyDescent="0.35">
      <c r="B13" s="232" t="s">
        <v>143</v>
      </c>
      <c r="C13" s="12">
        <v>45565</v>
      </c>
      <c r="D13" s="13" t="s">
        <v>134</v>
      </c>
      <c r="E13" s="13" t="s">
        <v>135</v>
      </c>
      <c r="F13" s="205">
        <v>4.8499999999999996</v>
      </c>
      <c r="G13" s="13" t="s">
        <v>136</v>
      </c>
      <c r="H13" s="210"/>
      <c r="K13" s="197"/>
    </row>
    <row r="14" spans="2:14" ht="30" customHeight="1" x14ac:dyDescent="0.35">
      <c r="B14" s="232" t="s">
        <v>144</v>
      </c>
      <c r="C14" s="12">
        <v>45596</v>
      </c>
      <c r="D14" s="13" t="s">
        <v>134</v>
      </c>
      <c r="E14" s="13" t="s">
        <v>135</v>
      </c>
      <c r="F14" s="205">
        <v>4.9800000000000004</v>
      </c>
      <c r="G14" s="13" t="s">
        <v>136</v>
      </c>
      <c r="H14" s="210"/>
      <c r="N14" s="197"/>
    </row>
    <row r="15" spans="2:14" ht="30" customHeight="1" x14ac:dyDescent="0.35">
      <c r="B15" s="232" t="s">
        <v>145</v>
      </c>
      <c r="C15" s="12">
        <v>45555</v>
      </c>
      <c r="D15" s="13" t="s">
        <v>129</v>
      </c>
      <c r="E15" s="13" t="s">
        <v>146</v>
      </c>
      <c r="F15" s="205">
        <v>6277.5</v>
      </c>
      <c r="G15" s="13" t="s">
        <v>136</v>
      </c>
      <c r="H15" s="210"/>
    </row>
    <row r="16" spans="2:14" ht="30" customHeight="1" x14ac:dyDescent="0.35">
      <c r="B16" s="232" t="s">
        <v>147</v>
      </c>
      <c r="C16" s="12">
        <v>45555</v>
      </c>
      <c r="D16" s="13" t="s">
        <v>129</v>
      </c>
      <c r="E16" s="13" t="s">
        <v>146</v>
      </c>
      <c r="F16" s="205">
        <v>140.5</v>
      </c>
      <c r="G16" s="13" t="s">
        <v>136</v>
      </c>
      <c r="H16" s="210"/>
    </row>
    <row r="17" spans="2:8" ht="30" customHeight="1" x14ac:dyDescent="0.35">
      <c r="B17" s="232" t="s">
        <v>148</v>
      </c>
      <c r="C17" s="12">
        <v>45626</v>
      </c>
      <c r="D17" s="13" t="s">
        <v>134</v>
      </c>
      <c r="E17" s="13" t="s">
        <v>135</v>
      </c>
      <c r="F17" s="205">
        <v>4.82</v>
      </c>
      <c r="G17" s="13" t="s">
        <v>136</v>
      </c>
      <c r="H17" s="210"/>
    </row>
    <row r="18" spans="2:8" ht="30" customHeight="1" x14ac:dyDescent="0.35">
      <c r="B18" s="26" t="s">
        <v>149</v>
      </c>
      <c r="C18" s="27">
        <v>45657</v>
      </c>
      <c r="D18" s="28" t="s">
        <v>134</v>
      </c>
      <c r="E18" s="13" t="s">
        <v>135</v>
      </c>
      <c r="F18" s="206">
        <v>4.5199999999999996</v>
      </c>
      <c r="G18" s="13" t="s">
        <v>136</v>
      </c>
      <c r="H18" s="210"/>
    </row>
    <row r="19" spans="2:8" ht="30" customHeight="1" x14ac:dyDescent="0.35">
      <c r="B19" s="26" t="s">
        <v>150</v>
      </c>
      <c r="C19" s="27">
        <v>45688</v>
      </c>
      <c r="D19" s="27" t="s">
        <v>134</v>
      </c>
      <c r="E19" s="28" t="s">
        <v>135</v>
      </c>
      <c r="F19" s="206">
        <v>4.46</v>
      </c>
      <c r="G19" s="28" t="s">
        <v>136</v>
      </c>
      <c r="H19" s="210"/>
    </row>
    <row r="20" spans="2:8" ht="46.15" customHeight="1" x14ac:dyDescent="0.35">
      <c r="B20" s="25" t="s">
        <v>151</v>
      </c>
      <c r="C20" s="12">
        <v>45716</v>
      </c>
      <c r="D20" s="12" t="s">
        <v>152</v>
      </c>
      <c r="E20" s="13" t="s">
        <v>135</v>
      </c>
      <c r="F20" s="205">
        <v>4.03</v>
      </c>
      <c r="G20" s="13" t="s">
        <v>136</v>
      </c>
      <c r="H20" s="210" t="s">
        <v>153</v>
      </c>
    </row>
    <row r="21" spans="2:8" ht="30" customHeight="1" x14ac:dyDescent="0.35">
      <c r="B21" s="25" t="s">
        <v>154</v>
      </c>
      <c r="C21" s="12">
        <v>45747</v>
      </c>
      <c r="D21" s="12" t="s">
        <v>134</v>
      </c>
      <c r="E21" s="13" t="s">
        <v>135</v>
      </c>
      <c r="F21" s="205">
        <v>4.47</v>
      </c>
      <c r="G21" s="13" t="s">
        <v>136</v>
      </c>
      <c r="H21" s="210"/>
    </row>
    <row r="22" spans="2:8" ht="30" customHeight="1" x14ac:dyDescent="0.35">
      <c r="B22" s="25" t="s">
        <v>155</v>
      </c>
      <c r="C22" s="12"/>
      <c r="D22" s="12"/>
      <c r="E22" s="13"/>
      <c r="F22" s="205"/>
      <c r="G22" s="13"/>
      <c r="H22" s="210"/>
    </row>
    <row r="23" spans="2:8" ht="30" customHeight="1" x14ac:dyDescent="0.35">
      <c r="B23" s="25"/>
      <c r="C23" s="12"/>
      <c r="D23" s="12"/>
      <c r="E23" s="13"/>
      <c r="F23" s="205"/>
      <c r="G23" s="13"/>
      <c r="H23" s="210"/>
    </row>
    <row r="24" spans="2:8" ht="30" customHeight="1" x14ac:dyDescent="0.35">
      <c r="B24" s="25"/>
      <c r="C24" s="12"/>
      <c r="D24" s="12"/>
      <c r="E24" s="13"/>
      <c r="F24" s="205"/>
      <c r="G24" s="13"/>
      <c r="H24" s="210"/>
    </row>
    <row r="27" spans="2:8" ht="30" customHeight="1" x14ac:dyDescent="0.35">
      <c r="E27" s="75"/>
    </row>
  </sheetData>
  <phoneticPr fontId="12" type="noConversion"/>
  <dataValidations disablePrompts="1" count="9">
    <dataValidation allowBlank="1" showInputMessage="1" showErrorMessage="1" prompt="Create a list of Charitable &amp; Sponsorships in this worksheet. Enter details in table starting in cell B4 (&quot;Other&quot; table). Select cell B1 to navigate to Itemized Expenses worksheet" sqref="A1" xr:uid="{00000000-0002-0000-0300-000000000000}"/>
    <dataValidation allowBlank="1" showInputMessage="1" showErrorMessage="1" prompt="Enter General Ledger code in this column under this heading" sqref="B4" xr:uid="{00000000-0002-0000-0300-000001000000}"/>
    <dataValidation allowBlank="1" showInputMessage="1" showErrorMessage="1" prompt="Enter Date when Check Request was Initiated in this column under this heading" sqref="C4:D4" xr:uid="{00000000-0002-0000-0300-000002000000}"/>
    <dataValidation allowBlank="1" showInputMessage="1" showErrorMessage="1" prompt="Enter Requested by name in this column under this heading" sqref="E4" xr:uid="{00000000-0002-0000-0300-000003000000}"/>
    <dataValidation allowBlank="1" showInputMessage="1" showErrorMessage="1" prompt="Enter Check Amount in this column under this heading" sqref="F4" xr:uid="{00000000-0002-0000-0300-000004000000}"/>
    <dataValidation allowBlank="1" showInputMessage="1" showErrorMessage="1" prompt="Enter Payee name in this column under this heading" sqref="G4" xr:uid="{00000000-0002-0000-0300-000006000000}"/>
    <dataValidation allowBlank="1" showInputMessage="1" showErrorMessage="1" prompt="Enter Category in this column under this heading" sqref="D4" xr:uid="{00000000-0002-0000-0300-000009000000}"/>
    <dataValidation allowBlank="1" showInputMessage="1" showErrorMessage="1" prompt="Navigation link. Select to go to ITEMIZED EXPENSES worksheet" sqref="B1" xr:uid="{00000000-0002-0000-0300-00000C000000}"/>
    <dataValidation allowBlank="1" showInputMessage="1" showErrorMessage="1" prompt="Title of this worksheet is in this cell. Slicer to filter table by Requested by is in cell B3 and a slicer to filter table by Payee is in cell G3" sqref="B2:G2" xr:uid="{00000000-0002-0000-0300-00000D000000}"/>
  </dataValidations>
  <printOptions horizontalCentered="1"/>
  <pageMargins left="0.4" right="0.4" top="0.4" bottom="0.6" header="0.3" footer="0.3"/>
  <pageSetup scale="71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zoomScale="60" zoomScaleNormal="60" workbookViewId="0">
      <pane ySplit="4" topLeftCell="A5" activePane="bottomLeft" state="frozen"/>
      <selection pane="bottomLeft" activeCell="L5" sqref="L5"/>
    </sheetView>
  </sheetViews>
  <sheetFormatPr defaultColWidth="8.75" defaultRowHeight="30" customHeight="1" x14ac:dyDescent="0.35"/>
  <cols>
    <col min="1" max="1" width="10.125" customWidth="1"/>
    <col min="2" max="2" width="12.375" customWidth="1"/>
    <col min="3" max="3" width="30.625" customWidth="1"/>
    <col min="4" max="4" width="28.5" customWidth="1"/>
    <col min="5" max="6" width="16.125" customWidth="1"/>
    <col min="7" max="7" width="19" customWidth="1"/>
    <col min="8" max="8" width="0.5" customWidth="1"/>
    <col min="9" max="9" width="0.25" customWidth="1"/>
    <col min="10" max="10" width="34.625" customWidth="1"/>
    <col min="11" max="11" width="22.875" customWidth="1"/>
  </cols>
  <sheetData>
    <row r="1" spans="1:12" ht="32.25" customHeight="1" x14ac:dyDescent="0.35">
      <c r="B1" s="3"/>
    </row>
    <row r="2" spans="1:12" ht="24.75" customHeight="1" x14ac:dyDescent="0.35">
      <c r="B2" s="92" t="s">
        <v>156</v>
      </c>
      <c r="C2" s="76"/>
      <c r="D2" s="76"/>
      <c r="E2" s="76"/>
      <c r="F2" s="76"/>
      <c r="G2" s="76"/>
      <c r="H2" s="76"/>
      <c r="I2" s="76"/>
    </row>
    <row r="3" spans="1:12" ht="30" customHeight="1" x14ac:dyDescent="0.35">
      <c r="B3" s="78" t="s">
        <v>122</v>
      </c>
      <c r="C3" s="176" t="s">
        <v>1</v>
      </c>
      <c r="D3" s="77"/>
      <c r="E3" s="77"/>
      <c r="F3" s="77"/>
      <c r="G3" s="77"/>
      <c r="H3" s="77"/>
      <c r="I3" s="77"/>
    </row>
    <row r="4" spans="1:12" ht="34.9" customHeight="1" x14ac:dyDescent="0.35">
      <c r="B4" s="79" t="s">
        <v>6</v>
      </c>
      <c r="C4" s="80" t="s">
        <v>157</v>
      </c>
      <c r="D4" s="80" t="s">
        <v>7</v>
      </c>
      <c r="E4" s="81" t="s">
        <v>158</v>
      </c>
      <c r="F4" s="81" t="s">
        <v>159</v>
      </c>
      <c r="G4" s="82" t="s">
        <v>160</v>
      </c>
      <c r="H4" s="83" t="s">
        <v>161</v>
      </c>
      <c r="I4" s="84" t="s">
        <v>162</v>
      </c>
      <c r="J4" s="84" t="s">
        <v>127</v>
      </c>
    </row>
    <row r="5" spans="1:12" ht="30" customHeight="1" x14ac:dyDescent="0.35">
      <c r="A5" s="52">
        <v>1000</v>
      </c>
      <c r="B5" s="53" t="s">
        <v>21</v>
      </c>
      <c r="C5" s="54" t="s">
        <v>20</v>
      </c>
      <c r="D5" s="69">
        <v>2700</v>
      </c>
      <c r="E5" s="55">
        <f>SUMIF([1]!MonthlyExpensesSummary[Nom Code],[1]!YearToDateTable[[#This Row],[Nom Code]],[1]!MonthlyExpensesSummary[Total])</f>
        <v>3222.63</v>
      </c>
      <c r="F5" s="56">
        <f>IFERROR([1]!YearToDateTable[[#This Row],[Actual]]/[1]!YearToDateTable[[#This Row],[BUDGET]],)</f>
        <v>1.1935666666666667</v>
      </c>
      <c r="G5" s="66">
        <f>IF([1]!YearToDateTable[[#This Row],[BUDGET]]="","",[1]!YearToDateTable[[#This Row],[BUDGET]]-[1]!YearToDateTable[[#This Row],[Actual]])</f>
        <v>-522.63000000000011</v>
      </c>
      <c r="H5" s="21"/>
      <c r="I5" s="198"/>
      <c r="J5" s="198" t="s">
        <v>163</v>
      </c>
      <c r="L5" t="b">
        <f>'[1]YTD BUDGET SUMMARY'!$K$5=[1]!YearToDateTable[[#This Row],[BUDGET]]-'[1]YTD BUDGET SUMMARY'!$K$5='[1]YTD BUDGET SUMMARY'!$Z$14</f>
        <v>1</v>
      </c>
    </row>
    <row r="6" spans="1:12" ht="30" customHeight="1" x14ac:dyDescent="0.35">
      <c r="A6" s="57">
        <v>1010</v>
      </c>
      <c r="B6" s="54" t="s">
        <v>164</v>
      </c>
      <c r="C6" s="54" t="s">
        <v>20</v>
      </c>
      <c r="D6" s="70">
        <v>200</v>
      </c>
      <c r="E6" s="58">
        <f>SUMIF([1]!MonthlyExpensesSummary[Nom Code],[1]!YearToDateTable[[#This Row],[Nom Code]],[1]!MonthlyExpensesSummary[Total])</f>
        <v>0</v>
      </c>
      <c r="F6" s="59">
        <f>IFERROR([1]!YearToDateTable[[#This Row],[Actual]]/[1]!YearToDateTable[[#This Row],[BUDGET]],)</f>
        <v>0</v>
      </c>
      <c r="G6" s="67">
        <f>IF([1]!YearToDateTable[[#This Row],[BUDGET]]="","",[1]!YearToDateTable[[#This Row],[BUDGET]]-[1]!YearToDateTable[[#This Row],[Actual]])</f>
        <v>200</v>
      </c>
      <c r="H6" s="22"/>
      <c r="I6" s="198"/>
      <c r="J6" s="198"/>
    </row>
    <row r="7" spans="1:12" ht="30" customHeight="1" x14ac:dyDescent="0.35">
      <c r="A7" s="57">
        <v>1020</v>
      </c>
      <c r="B7" s="54" t="s">
        <v>165</v>
      </c>
      <c r="C7" s="54" t="s">
        <v>20</v>
      </c>
      <c r="D7" s="70">
        <v>0</v>
      </c>
      <c r="E7" s="58">
        <f>SUMIF([1]!MonthlyExpensesSummary[Nom Code],[1]!YearToDateTable[[#This Row],[Nom Code]],[1]!MonthlyExpensesSummary[Total])</f>
        <v>0</v>
      </c>
      <c r="F7" s="59">
        <f>IFERROR([1]!YearToDateTable[[#This Row],[Actual]]/[1]!YearToDateTable[[#This Row],[BUDGET]],)</f>
        <v>0</v>
      </c>
      <c r="G7" s="67">
        <f>IF([1]!YearToDateTable[[#This Row],[BUDGET]]="","",[1]!YearToDateTable[[#This Row],[BUDGET]]-[1]!YearToDateTable[[#This Row],[Actual]])</f>
        <v>0</v>
      </c>
      <c r="H7" s="85"/>
      <c r="I7" s="198"/>
      <c r="J7" s="198"/>
    </row>
    <row r="8" spans="1:12" ht="30" customHeight="1" x14ac:dyDescent="0.35">
      <c r="A8" s="57">
        <v>1030</v>
      </c>
      <c r="B8" s="54" t="s">
        <v>27</v>
      </c>
      <c r="C8" s="54" t="s">
        <v>20</v>
      </c>
      <c r="D8" s="70">
        <v>107.5</v>
      </c>
      <c r="E8" s="58">
        <f>SUMIF([1]!MonthlyExpensesSummary[Nom Code],[1]!YearToDateTable[[#This Row],[Nom Code]],[1]!MonthlyExpensesSummary[Total])</f>
        <v>165.62</v>
      </c>
      <c r="F8" s="59">
        <f>IFERROR([1]!YearToDateTable[[#This Row],[Actual]]/[1]!YearToDateTable[[#This Row],[BUDGET]],)</f>
        <v>1.5406511627906978</v>
      </c>
      <c r="G8" s="67">
        <f>IF([1]!YearToDateTable[[#This Row],[BUDGET]]="","",[1]!YearToDateTable[[#This Row],[BUDGET]]-[1]!YearToDateTable[[#This Row],[Actual]])</f>
        <v>-58.120000000000005</v>
      </c>
      <c r="H8" s="22"/>
      <c r="I8" s="198"/>
      <c r="J8" s="198"/>
    </row>
    <row r="9" spans="1:12" ht="30" customHeight="1" x14ac:dyDescent="0.35">
      <c r="A9" s="57">
        <v>1040</v>
      </c>
      <c r="B9" s="54" t="s">
        <v>38</v>
      </c>
      <c r="C9" s="54" t="s">
        <v>20</v>
      </c>
      <c r="D9" s="70">
        <v>200</v>
      </c>
      <c r="E9" s="58">
        <f>SUMIF([1]!MonthlyExpensesSummary[Nom Code],[1]!YearToDateTable[[#This Row],[Nom Code]],[1]!MonthlyExpensesSummary[Total])</f>
        <v>210</v>
      </c>
      <c r="F9" s="59">
        <f>IFERROR([1]!YearToDateTable[[#This Row],[Actual]]/[1]!YearToDateTable[[#This Row],[BUDGET]],)</f>
        <v>1.05</v>
      </c>
      <c r="G9" s="67">
        <f>IF([1]!YearToDateTable[[#This Row],[BUDGET]]="","",[1]!YearToDateTable[[#This Row],[BUDGET]]-[1]!YearToDateTable[[#This Row],[Actual]])</f>
        <v>-10</v>
      </c>
      <c r="H9" s="22"/>
      <c r="I9" s="198"/>
      <c r="J9" s="198"/>
    </row>
    <row r="10" spans="1:12" ht="30" customHeight="1" x14ac:dyDescent="0.35">
      <c r="A10" s="57">
        <v>1050</v>
      </c>
      <c r="B10" s="54" t="s">
        <v>41</v>
      </c>
      <c r="C10" s="54" t="s">
        <v>20</v>
      </c>
      <c r="D10" s="70">
        <v>200</v>
      </c>
      <c r="E10" s="58">
        <f>SUMIF([1]!MonthlyExpensesSummary[Nom Code],[1]!YearToDateTable[[#This Row],[Nom Code]],[1]!MonthlyExpensesSummary[Total])</f>
        <v>63.84</v>
      </c>
      <c r="F10" s="59">
        <f>IFERROR([1]!YearToDateTable[[#This Row],[Actual]]/[1]!YearToDateTable[[#This Row],[BUDGET]],)</f>
        <v>0.31920000000000004</v>
      </c>
      <c r="G10" s="67">
        <f>IF([1]!YearToDateTable[[#This Row],[BUDGET]]="","",[1]!YearToDateTable[[#This Row],[BUDGET]]-[1]!YearToDateTable[[#This Row],[Actual]])</f>
        <v>136.16</v>
      </c>
      <c r="H10" s="22"/>
      <c r="I10" s="198"/>
      <c r="J10" s="198"/>
    </row>
    <row r="11" spans="1:12" ht="30" customHeight="1" x14ac:dyDescent="0.35">
      <c r="A11" s="57">
        <v>1060</v>
      </c>
      <c r="B11" s="54" t="s">
        <v>33</v>
      </c>
      <c r="C11" s="54" t="s">
        <v>20</v>
      </c>
      <c r="D11" s="70">
        <v>756</v>
      </c>
      <c r="E11" s="58">
        <f>SUMIF([1]!MonthlyExpensesSummary[Nom Code],[1]!YearToDateTable[[#This Row],[Nom Code]],[1]!MonthlyExpensesSummary[Total])</f>
        <v>710.85</v>
      </c>
      <c r="F11" s="59">
        <f>IFERROR([1]!YearToDateTable[[#This Row],[Actual]]/[1]!YearToDateTable[[#This Row],[BUDGET]],)</f>
        <v>0.94027777777777777</v>
      </c>
      <c r="G11" s="67">
        <f>IF([1]!YearToDateTable[[#This Row],[BUDGET]]="","",[1]!YearToDateTable[[#This Row],[BUDGET]]-[1]!YearToDateTable[[#This Row],[Actual]])</f>
        <v>45.149999999999977</v>
      </c>
      <c r="H11" s="22"/>
      <c r="I11" s="198"/>
      <c r="J11" s="198"/>
    </row>
    <row r="12" spans="1:12" ht="30" customHeight="1" x14ac:dyDescent="0.35">
      <c r="A12" s="57">
        <v>1070</v>
      </c>
      <c r="B12" s="54" t="s">
        <v>35</v>
      </c>
      <c r="C12" s="54" t="s">
        <v>20</v>
      </c>
      <c r="D12" s="70">
        <v>268.75</v>
      </c>
      <c r="E12" s="58">
        <f>SUMIF([1]!MonthlyExpensesSummary[Nom Code],[1]!YearToDateTable[[#This Row],[Nom Code]],[1]!MonthlyExpensesSummary[Total])</f>
        <v>204.89</v>
      </c>
      <c r="F12" s="59">
        <f>IFERROR([1]!YearToDateTable[[#This Row],[Actual]]/[1]!YearToDateTable[[#This Row],[BUDGET]],)</f>
        <v>0.7623813953488372</v>
      </c>
      <c r="G12" s="67">
        <f>IF([1]!YearToDateTable[[#This Row],[BUDGET]]="","",[1]!YearToDateTable[[#This Row],[BUDGET]]-[1]!YearToDateTable[[#This Row],[Actual]])</f>
        <v>63.860000000000014</v>
      </c>
      <c r="H12" s="22"/>
      <c r="I12" s="198"/>
      <c r="J12" s="198"/>
    </row>
    <row r="13" spans="1:12" ht="30" customHeight="1" x14ac:dyDescent="0.35">
      <c r="A13" s="57">
        <v>1080</v>
      </c>
      <c r="B13" s="54" t="s">
        <v>166</v>
      </c>
      <c r="C13" s="54" t="s">
        <v>20</v>
      </c>
      <c r="D13" s="70">
        <v>1600</v>
      </c>
      <c r="E13" s="58">
        <f>SUMIF([1]!MonthlyExpensesSummary[Nom Code],[1]!YearToDateTable[[#This Row],[Nom Code]],[1]!MonthlyExpensesSummary[Total])</f>
        <v>1567</v>
      </c>
      <c r="F13" s="59">
        <f>IFERROR([1]!YearToDateTable[[#This Row],[Actual]]/[1]!YearToDateTable[[#This Row],[BUDGET]],)</f>
        <v>0.979375</v>
      </c>
      <c r="G13" s="67">
        <f>IF([1]!YearToDateTable[[#This Row],[BUDGET]]="","",[1]!YearToDateTable[[#This Row],[BUDGET]]-[1]!YearToDateTable[[#This Row],[Actual]])</f>
        <v>33</v>
      </c>
      <c r="H13" s="23"/>
      <c r="I13" s="198"/>
      <c r="J13" s="198"/>
    </row>
    <row r="14" spans="1:12" ht="30" customHeight="1" x14ac:dyDescent="0.35">
      <c r="A14" s="57">
        <v>1090</v>
      </c>
      <c r="B14" s="54" t="s">
        <v>24</v>
      </c>
      <c r="C14" s="54" t="s">
        <v>20</v>
      </c>
      <c r="D14" s="70">
        <v>450</v>
      </c>
      <c r="E14" s="58">
        <f>SUMIF([1]!MonthlyExpensesSummary[Nom Code],[1]!YearToDateTable[[#This Row],[Nom Code]],[1]!MonthlyExpensesSummary[Total])</f>
        <v>1152.25</v>
      </c>
      <c r="F14" s="59">
        <f>IFERROR([1]!YearToDateTable[[#This Row],[Actual]]/[1]!YearToDateTable[[#This Row],[BUDGET]],)</f>
        <v>2.5605555555555557</v>
      </c>
      <c r="G14" s="67">
        <f>IF([1]!YearToDateTable[[#This Row],[BUDGET]]="","",[1]!YearToDateTable[[#This Row],[BUDGET]]-[1]!YearToDateTable[[#This Row],[Actual]])</f>
        <v>-702.25</v>
      </c>
      <c r="H14" s="233"/>
      <c r="I14" s="198"/>
      <c r="J14" s="198" t="s">
        <v>167</v>
      </c>
    </row>
    <row r="15" spans="1:12" ht="30" customHeight="1" x14ac:dyDescent="0.35">
      <c r="A15" s="40">
        <v>2010</v>
      </c>
      <c r="B15" s="41" t="s">
        <v>71</v>
      </c>
      <c r="C15" s="41" t="s">
        <v>53</v>
      </c>
      <c r="D15" s="71">
        <v>500</v>
      </c>
      <c r="E15" s="42">
        <f>SUMIF([1]!MonthlyExpensesSummary[Nom Code],[1]!YearToDateTable[[#This Row],[Nom Code]],[1]!MonthlyExpensesSummary[Total])</f>
        <v>180.93</v>
      </c>
      <c r="F15" s="43">
        <f>IFERROR([1]!YearToDateTable[[#This Row],[Actual]]/[1]!YearToDateTable[[#This Row],[BUDGET]],)</f>
        <v>0.36186000000000001</v>
      </c>
      <c r="G15" s="68">
        <f>IF([1]!YearToDateTable[[#This Row],[BUDGET]]="","",[1]!YearToDateTable[[#This Row],[BUDGET]]-[1]!YearToDateTable[[#This Row],[Actual]])</f>
        <v>319.07</v>
      </c>
      <c r="H15" s="235"/>
      <c r="I15" s="198"/>
      <c r="J15" s="198"/>
    </row>
    <row r="16" spans="1:12" ht="30" customHeight="1" x14ac:dyDescent="0.35">
      <c r="A16" s="44">
        <v>2020</v>
      </c>
      <c r="B16" s="45" t="s">
        <v>54</v>
      </c>
      <c r="C16" s="41" t="s">
        <v>53</v>
      </c>
      <c r="D16" s="72">
        <v>0</v>
      </c>
      <c r="E16" s="46">
        <f>SUMIF([1]!MonthlyExpensesSummary[Nom Code],[1]!YearToDateTable[[#This Row],[Nom Code]],[1]!MonthlyExpensesSummary[Total])</f>
        <v>200</v>
      </c>
      <c r="F16" s="47">
        <f>IFERROR([1]!YearToDateTable[[#This Row],[Actual]]/[1]!YearToDateTable[[#This Row],[BUDGET]],)</f>
        <v>0</v>
      </c>
      <c r="G16" s="64">
        <f>IF([1]!YearToDateTable[[#This Row],[BUDGET]]="","",[1]!YearToDateTable[[#This Row],[BUDGET]]-[1]!YearToDateTable[[#This Row],[Actual]])</f>
        <v>-200</v>
      </c>
      <c r="H16" s="236"/>
      <c r="I16" s="198"/>
      <c r="J16" s="198"/>
    </row>
    <row r="17" spans="1:10" ht="30" customHeight="1" x14ac:dyDescent="0.35">
      <c r="A17" s="40">
        <v>2030</v>
      </c>
      <c r="B17" s="41" t="s">
        <v>168</v>
      </c>
      <c r="C17" s="41" t="s">
        <v>53</v>
      </c>
      <c r="D17" s="71">
        <v>200</v>
      </c>
      <c r="E17" s="42">
        <f>SUMIF([1]!MonthlyExpensesSummary[Nom Code],[1]!YearToDateTable[[#This Row],[Nom Code]],[1]!MonthlyExpensesSummary[Total])</f>
        <v>0</v>
      </c>
      <c r="F17" s="43">
        <f>IFERROR([1]!YearToDateTable[[#This Row],[Actual]]/[1]!YearToDateTable[[#This Row],[BUDGET]],)</f>
        <v>0</v>
      </c>
      <c r="G17" s="64">
        <f>IF([1]!YearToDateTable[[#This Row],[BUDGET]]="","",[1]!YearToDateTable[[#This Row],[BUDGET]]-[1]!YearToDateTable[[#This Row],[Actual]])</f>
        <v>200</v>
      </c>
      <c r="H17" s="233"/>
      <c r="I17" s="198"/>
      <c r="J17" s="198"/>
    </row>
    <row r="18" spans="1:10" ht="30" customHeight="1" x14ac:dyDescent="0.35">
      <c r="A18" s="48">
        <v>3010</v>
      </c>
      <c r="B18" s="49" t="s">
        <v>59</v>
      </c>
      <c r="C18" s="49" t="s">
        <v>15</v>
      </c>
      <c r="D18" s="73">
        <v>120</v>
      </c>
      <c r="E18" s="50">
        <f>SUMIF([1]!MonthlyExpensesSummary[Nom Code],[1]!YearToDateTable[[#This Row],[Nom Code]],[1]!MonthlyExpensesSummary[Total])</f>
        <v>108</v>
      </c>
      <c r="F18" s="51">
        <f>IFERROR([1]!YearToDateTable[[#This Row],[Actual]]/[1]!YearToDateTable[[#This Row],[BUDGET]],)</f>
        <v>0.9</v>
      </c>
      <c r="G18" s="65">
        <f>IF([1]!YearToDateTable[[#This Row],[BUDGET]]="","",[1]!YearToDateTable[[#This Row],[BUDGET]]-[1]!YearToDateTable[[#This Row],[Actual]])</f>
        <v>12</v>
      </c>
      <c r="H18" s="234"/>
      <c r="I18" s="198"/>
      <c r="J18" s="198"/>
    </row>
    <row r="19" spans="1:10" ht="30" customHeight="1" x14ac:dyDescent="0.35">
      <c r="A19" s="48">
        <v>3020</v>
      </c>
      <c r="B19" s="49" t="s">
        <v>16</v>
      </c>
      <c r="C19" s="49" t="s">
        <v>15</v>
      </c>
      <c r="D19" s="73">
        <v>107.5</v>
      </c>
      <c r="E19" s="50">
        <f>SUMIF([1]!MonthlyExpensesSummary[Nom Code],[1]!YearToDateTable[[#This Row],[Nom Code]],[1]!MonthlyExpensesSummary[Total])</f>
        <v>90.97</v>
      </c>
      <c r="F19" s="51">
        <f>IFERROR([1]!YearToDateTable[[#This Row],[Actual]]/[1]!YearToDateTable[[#This Row],[BUDGET]],)</f>
        <v>0.84623255813953491</v>
      </c>
      <c r="G19" s="65">
        <f>IF([1]!YearToDateTable[[#This Row],[BUDGET]]="","",[1]!YearToDateTable[[#This Row],[BUDGET]]-[1]!YearToDateTable[[#This Row],[Actual]])</f>
        <v>16.53</v>
      </c>
      <c r="H19" s="237"/>
      <c r="I19" s="198"/>
      <c r="J19" s="198"/>
    </row>
    <row r="20" spans="1:10" ht="30" customHeight="1" x14ac:dyDescent="0.35">
      <c r="A20" s="48">
        <v>3030</v>
      </c>
      <c r="B20" s="49" t="s">
        <v>48</v>
      </c>
      <c r="C20" s="49" t="s">
        <v>15</v>
      </c>
      <c r="D20" s="73">
        <v>800</v>
      </c>
      <c r="E20" s="50">
        <f>SUMIF([1]!MonthlyExpensesSummary[Nom Code],[1]!YearToDateTable[[#This Row],[Nom Code]],[1]!MonthlyExpensesSummary[Total])</f>
        <v>3733.22</v>
      </c>
      <c r="F20" s="51">
        <f>IFERROR([1]!YearToDateTable[[#This Row],[Actual]]/[1]!YearToDateTable[[#This Row],[BUDGET]],)</f>
        <v>4.666525</v>
      </c>
      <c r="G20" s="65">
        <f>IF([1]!YearToDateTable[[#This Row],[BUDGET]]="","",[1]!YearToDateTable[[#This Row],[BUDGET]]-[1]!YearToDateTable[[#This Row],[Actual]])</f>
        <v>-2933.22</v>
      </c>
      <c r="H20" s="237"/>
      <c r="I20" s="198"/>
      <c r="J20" s="198" t="s">
        <v>169</v>
      </c>
    </row>
    <row r="21" spans="1:10" ht="30" customHeight="1" x14ac:dyDescent="0.35">
      <c r="A21" s="48">
        <v>3040</v>
      </c>
      <c r="B21" s="49" t="s">
        <v>30</v>
      </c>
      <c r="C21" s="49" t="s">
        <v>15</v>
      </c>
      <c r="D21" s="73">
        <v>3200</v>
      </c>
      <c r="E21" s="50">
        <f>SUMIF([1]!MonthlyExpensesSummary[Nom Code],[1]!YearToDateTable[[#This Row],[Nom Code]],[1]!MonthlyExpensesSummary[Total])</f>
        <v>3936</v>
      </c>
      <c r="F21" s="51">
        <f>IFERROR([1]!YearToDateTable[[#This Row],[Actual]]/[1]!YearToDateTable[[#This Row],[BUDGET]],)</f>
        <v>1.23</v>
      </c>
      <c r="G21" s="65">
        <f>IF([1]!YearToDateTable[[#This Row],[BUDGET]]="","",[1]!YearToDateTable[[#This Row],[BUDGET]]-[1]!YearToDateTable[[#This Row],[Actual]])</f>
        <v>-736</v>
      </c>
      <c r="H21" s="237"/>
      <c r="I21" s="198"/>
      <c r="J21" s="198" t="s">
        <v>170</v>
      </c>
    </row>
    <row r="22" spans="1:10" ht="30" customHeight="1" x14ac:dyDescent="0.35">
      <c r="A22" s="48">
        <v>3050</v>
      </c>
      <c r="B22" s="49" t="s">
        <v>171</v>
      </c>
      <c r="C22" s="49" t="s">
        <v>15</v>
      </c>
      <c r="D22" s="73">
        <v>645</v>
      </c>
      <c r="E22" s="50">
        <f>SUMIF([1]!MonthlyExpensesSummary[Nom Code],[1]!YearToDateTable[[#This Row],[Nom Code]],[1]!MonthlyExpensesSummary[Total])</f>
        <v>0</v>
      </c>
      <c r="F22" s="51">
        <f>IFERROR([1]!YearToDateTable[[#This Row],[Actual]]/[1]!YearToDateTable[[#This Row],[BUDGET]],)</f>
        <v>0</v>
      </c>
      <c r="G22" s="65">
        <f>IF([1]!YearToDateTable[[#This Row],[BUDGET]]="","",[1]!YearToDateTable[[#This Row],[BUDGET]]-[1]!YearToDateTable[[#This Row],[Actual]])</f>
        <v>645</v>
      </c>
      <c r="H22" s="233"/>
      <c r="I22" s="198"/>
      <c r="J22" s="198"/>
    </row>
    <row r="23" spans="1:10" ht="30" customHeight="1" x14ac:dyDescent="0.35">
      <c r="A23" s="5"/>
      <c r="B23" s="6"/>
      <c r="C23" s="6"/>
      <c r="D23" s="74"/>
      <c r="E23" s="18"/>
      <c r="F23" s="19"/>
      <c r="G23" s="34" t="str">
        <f>IF([1]!YearToDateTable[[#This Row],[BUDGET]]="","",[1]!YearToDateTable[[#This Row],[BUDGET]]-[1]!YearToDateTable[[#This Row],[Actual]])</f>
        <v/>
      </c>
      <c r="H23" s="24"/>
      <c r="I23" s="198"/>
      <c r="J23" s="198"/>
    </row>
    <row r="24" spans="1:10" ht="39" customHeight="1" x14ac:dyDescent="0.35">
      <c r="A24" s="86" t="s">
        <v>120</v>
      </c>
      <c r="B24" s="7"/>
      <c r="C24" s="7"/>
      <c r="D24" s="60">
        <f>SUBTOTAL(109,[1]!YearToDateTable[BUDGET])</f>
        <v>12054.75</v>
      </c>
      <c r="E24" s="17">
        <f>SUBTOTAL(109,[1]!YearToDateTable[Actual])</f>
        <v>15546.2</v>
      </c>
      <c r="F24" s="20">
        <f>[1]!YearToDateTable[[#Totals],[Actual]]/[1]!YearToDateTable[[#Totals],[BUDGET]]</f>
        <v>1.2896327173935587</v>
      </c>
      <c r="G24" s="35">
        <f>SUBTOTAL(109,[1]!YearToDateTable[Budget Remaining])</f>
        <v>-3491.45</v>
      </c>
      <c r="H24" s="196"/>
      <c r="I24" s="199"/>
      <c r="J24" s="199"/>
    </row>
    <row r="25" spans="1:10" ht="30" customHeight="1" x14ac:dyDescent="0.35">
      <c r="A25" s="180">
        <v>3060</v>
      </c>
      <c r="B25" s="181" t="s">
        <v>172</v>
      </c>
      <c r="C25" s="181" t="s">
        <v>15</v>
      </c>
      <c r="D25" s="182">
        <v>500</v>
      </c>
      <c r="E25" s="181"/>
    </row>
    <row r="26" spans="1:10" ht="30" customHeight="1" thickBot="1" x14ac:dyDescent="0.4">
      <c r="A26" t="s">
        <v>173</v>
      </c>
      <c r="D26" s="183">
        <f>[1]!YearToDateTable[[#Totals],[BUDGET]]+D25</f>
        <v>12554.75</v>
      </c>
    </row>
  </sheetData>
  <conditionalFormatting sqref="F5:F24">
    <cfRule type="iconSet" priority="5">
      <iconSet iconSet="4TrafficLights" reverse="1">
        <cfvo type="percent" val="0"/>
        <cfvo type="num" val="0.6"/>
        <cfvo type="num" val="0.8"/>
        <cfvo type="num" val="1" gte="0"/>
      </iconSet>
    </cfRule>
  </conditionalFormatting>
  <conditionalFormatting sqref="G5:G23">
    <cfRule type="dataBar" priority="6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{8980AD49-18CD-4AE1-ABB9-46E5F80D3D8C}</x14:id>
        </ext>
      </extLst>
    </cfRule>
  </conditionalFormatting>
  <conditionalFormatting sqref="H5:H13">
    <cfRule type="iconSet" priority="3">
      <iconSet iconSet="4TrafficLights" reverse="1">
        <cfvo type="percent" val="0"/>
        <cfvo type="num" val="0.6"/>
        <cfvo type="num" val="0.8"/>
        <cfvo type="num" val="1" gte="0"/>
      </iconSet>
    </cfRule>
  </conditionalFormatting>
  <conditionalFormatting sqref="H14">
    <cfRule type="iconSet" priority="4">
      <iconSet iconSet="4TrafficLights" reverse="1">
        <cfvo type="percent" val="0"/>
        <cfvo type="num" val="0.6"/>
        <cfvo type="num" val="0.8"/>
        <cfvo type="num" val="1" gte="0"/>
      </iconSet>
    </cfRule>
  </conditionalFormatting>
  <conditionalFormatting sqref="H17">
    <cfRule type="iconSet" priority="2">
      <iconSet iconSet="4TrafficLights" reverse="1">
        <cfvo type="percent" val="0"/>
        <cfvo type="num" val="0.6"/>
        <cfvo type="num" val="0.8"/>
        <cfvo type="num" val="1" gte="0"/>
      </iconSet>
    </cfRule>
  </conditionalFormatting>
  <conditionalFormatting sqref="H22">
    <cfRule type="iconSet" priority="1">
      <iconSet iconSet="4TrafficLights" reverse="1">
        <cfvo type="percent" val="0"/>
        <cfvo type="num" val="0.6"/>
        <cfvo type="num" val="0.8"/>
        <cfvo type="num" val="1" gte="0"/>
      </iconSet>
    </cfRule>
  </conditionalFormatting>
  <dataValidations count="11">
    <dataValidation allowBlank="1" showInputMessage="1" showErrorMessage="1" prompt="Create a General Ledger with Budget Comparison in this workbook. Enter details in Year to Date table in this worksheet. Navigation link is in cell B1" sqref="A1" xr:uid="{00000000-0002-0000-0000-000000000000}"/>
    <dataValidation allowBlank="1" showInputMessage="1" showErrorMessage="1" prompt="Enter year in cell at right" sqref="H2:I3" xr:uid="{00000000-0002-0000-0000-000002000000}"/>
    <dataValidation allowBlank="1" showInputMessage="1" showErrorMessage="1" prompt="Enter year in this cell" sqref="G2:G3" xr:uid="{00000000-0002-0000-0000-000003000000}"/>
    <dataValidation allowBlank="1" showInputMessage="1" showErrorMessage="1" prompt="Enter General Ledger code in this column under this heading" sqref="B4" xr:uid="{00000000-0002-0000-0000-000004000000}"/>
    <dataValidation allowBlank="1" showInputMessage="1" showErrorMessage="1" prompt="Enter Account Title in this column under this heading" sqref="C4:D4" xr:uid="{00000000-0002-0000-0000-000005000000}"/>
    <dataValidation allowBlank="1" showInputMessage="1" showErrorMessage="1" prompt="Actual amount is automatically calculated in this column under this heading" sqref="F4:G4" xr:uid="{00000000-0002-0000-0000-000006000000}"/>
    <dataValidation allowBlank="1" showInputMessage="1" showErrorMessage="1" prompt="Enter Budget Amount in this column under this heading" sqref="E4:G4" xr:uid="{00000000-0002-0000-0000-000007000000}"/>
    <dataValidation allowBlank="1" showInputMessage="1" showErrorMessage="1" prompt="Data bar for Remaining amount is automatically updated in this column under this heading" sqref="H4" xr:uid="{00000000-0002-0000-0000-000008000000}"/>
    <dataValidation allowBlank="1" showInputMessage="1" showErrorMessage="1" prompt="Remaining percent is automatically calculated in this column under this heading" sqref="G4" xr:uid="{00000000-0002-0000-0000-000009000000}"/>
    <dataValidation allowBlank="1" showErrorMessage="1" sqref="B1" xr:uid="{00000000-0002-0000-0000-00000A000000}"/>
    <dataValidation allowBlank="1" showInputMessage="1" showErrorMessage="1" prompt="Title of this worksheet is in this cell. Enter year in cell G2" sqref="B2:G3" xr:uid="{00000000-0002-0000-0000-000001000000}"/>
  </dataValidations>
  <printOptions horizontalCentered="1"/>
  <pageMargins left="0.4" right="0.4" top="0.4" bottom="0.6" header="0.3" footer="0.3"/>
  <pageSetup scale="7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80AD49-18CD-4AE1-ABB9-46E5F80D3D8C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G5:G23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1"/>
  <sheetViews>
    <sheetView showGridLines="0" zoomScale="70" zoomScaleNormal="70" workbookViewId="0">
      <pane ySplit="6" topLeftCell="A7" activePane="bottomLeft" state="frozen"/>
      <selection pane="bottomLeft" activeCell="T15" sqref="T15"/>
    </sheetView>
  </sheetViews>
  <sheetFormatPr defaultColWidth="8.75" defaultRowHeight="30" customHeight="1" x14ac:dyDescent="0.35"/>
  <cols>
    <col min="1" max="1" width="2.625" customWidth="1"/>
    <col min="2" max="2" width="10.875" customWidth="1"/>
    <col min="3" max="3" width="26.375" customWidth="1"/>
    <col min="4" max="16" width="13" customWidth="1"/>
  </cols>
  <sheetData>
    <row r="1" spans="2:16" ht="43.15" customHeight="1" x14ac:dyDescent="0.35"/>
    <row r="2" spans="2:16" ht="40.15" customHeight="1" x14ac:dyDescent="0.35">
      <c r="B2" s="92" t="s">
        <v>174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2:16" ht="30" customHeight="1" x14ac:dyDescent="0.35">
      <c r="B3" s="78" t="s">
        <v>122</v>
      </c>
      <c r="C3" s="176" t="s">
        <v>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2:16" s="2" customFormat="1" ht="48" hidden="1" customHeight="1" x14ac:dyDescent="0.35">
      <c r="B4" s="4" t="s">
        <v>175</v>
      </c>
      <c r="D4" s="1">
        <f>DATEVALUE("1-APR"&amp;_YEAR)</f>
        <v>45748</v>
      </c>
      <c r="E4" s="1">
        <f>DATEVALUE("1-MAY"&amp;_YEAR)</f>
        <v>45778</v>
      </c>
      <c r="F4" s="1">
        <f>DATEVALUE("1-JUN"&amp;_YEAR)</f>
        <v>45809</v>
      </c>
      <c r="G4" s="1">
        <f>DATEVALUE("1-JULY"&amp;_YEAR)</f>
        <v>45839</v>
      </c>
      <c r="H4" s="1">
        <f>DATEVALUE("1-AUG"&amp;_YEAR)</f>
        <v>45870</v>
      </c>
      <c r="I4" s="1">
        <f>DATEVALUE("1-SEP"&amp;_YEAR)</f>
        <v>45901</v>
      </c>
      <c r="J4" s="1">
        <f>DATEVALUE("1-OCT"&amp;_YEAR)</f>
        <v>45931</v>
      </c>
      <c r="K4" s="1">
        <f>DATEVALUE("1-NOV"&amp;_YEAR)</f>
        <v>45962</v>
      </c>
      <c r="L4" s="1">
        <f>DATEVALUE("1-DEC"&amp;_YEAR)</f>
        <v>45992</v>
      </c>
      <c r="M4" s="1">
        <f>DATEVALUE("1-Jan"&amp;_YEAR)+366</f>
        <v>46024</v>
      </c>
      <c r="N4" s="1">
        <f>DATEVALUE("1-Feb"&amp;_YEAR)+366</f>
        <v>46055</v>
      </c>
      <c r="O4" s="1">
        <f>DATEVALUE("1-Mar"&amp;_YEAR)+366</f>
        <v>46083</v>
      </c>
    </row>
    <row r="5" spans="2:16" s="2" customFormat="1" ht="48" hidden="1" customHeight="1" x14ac:dyDescent="0.35">
      <c r="B5" s="4"/>
      <c r="D5" s="1">
        <f>EOMONTH(D4,0)</f>
        <v>45777</v>
      </c>
      <c r="E5" s="1">
        <f>EOMONTH(E4,0)</f>
        <v>45808</v>
      </c>
      <c r="F5" s="1">
        <f t="shared" ref="F5:L5" si="0">EOMONTH(F4,0)</f>
        <v>45838</v>
      </c>
      <c r="G5" s="1">
        <f t="shared" si="0"/>
        <v>45869</v>
      </c>
      <c r="H5" s="1">
        <f t="shared" si="0"/>
        <v>45900</v>
      </c>
      <c r="I5" s="1">
        <f t="shared" si="0"/>
        <v>45930</v>
      </c>
      <c r="J5" s="1">
        <f t="shared" si="0"/>
        <v>45961</v>
      </c>
      <c r="K5" s="1">
        <f t="shared" si="0"/>
        <v>45991</v>
      </c>
      <c r="L5" s="1">
        <f t="shared" si="0"/>
        <v>46022</v>
      </c>
      <c r="M5" s="1">
        <f>EOMONTH(M4,0)</f>
        <v>46053</v>
      </c>
      <c r="N5" s="1">
        <f t="shared" ref="N5:O5" si="1">EOMONTH(N4,0)</f>
        <v>46081</v>
      </c>
      <c r="O5" s="1">
        <f t="shared" si="1"/>
        <v>46112</v>
      </c>
    </row>
    <row r="6" spans="2:16" ht="48" customHeight="1" x14ac:dyDescent="0.35">
      <c r="B6" s="153" t="s">
        <v>6</v>
      </c>
      <c r="C6" s="154" t="s">
        <v>176</v>
      </c>
      <c r="D6" s="155" t="s">
        <v>177</v>
      </c>
      <c r="E6" s="156" t="s">
        <v>178</v>
      </c>
      <c r="F6" s="157" t="s">
        <v>179</v>
      </c>
      <c r="G6" s="158" t="s">
        <v>180</v>
      </c>
      <c r="H6" s="159" t="s">
        <v>181</v>
      </c>
      <c r="I6" s="160" t="s">
        <v>182</v>
      </c>
      <c r="J6" s="161" t="s">
        <v>183</v>
      </c>
      <c r="K6" s="162" t="s">
        <v>184</v>
      </c>
      <c r="L6" s="163" t="s">
        <v>185</v>
      </c>
      <c r="M6" s="164" t="s">
        <v>186</v>
      </c>
      <c r="N6" s="165" t="s">
        <v>187</v>
      </c>
      <c r="O6" s="166" t="s">
        <v>188</v>
      </c>
      <c r="P6" s="153" t="s">
        <v>120</v>
      </c>
    </row>
    <row r="7" spans="2:16" ht="48" customHeight="1" x14ac:dyDescent="0.35">
      <c r="B7" s="93">
        <v>1000</v>
      </c>
      <c r="C7" s="94" t="s">
        <v>21</v>
      </c>
      <c r="D7" s="101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7" s="102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7" s="103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7" s="107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7" s="108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7" s="109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7" s="113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7" s="114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7" s="115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7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7" s="207">
        <f>'[1]Cash Book'!I53</f>
        <v>249.52</v>
      </c>
      <c r="O7" s="120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7" s="99">
        <f>SUM([1]!MonthlyExpensesSummary[[#This Row],[April]:[March]])</f>
        <v>3222.63</v>
      </c>
    </row>
    <row r="8" spans="2:16" ht="48" customHeight="1" x14ac:dyDescent="0.35">
      <c r="B8" s="95">
        <v>1010</v>
      </c>
      <c r="C8" s="96" t="s">
        <v>164</v>
      </c>
      <c r="D8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8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8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8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8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8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8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8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8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8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8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8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8" s="99">
        <f>SUM([1]!MonthlyExpensesSummary[[#This Row],[April]:[March]])</f>
        <v>0</v>
      </c>
    </row>
    <row r="9" spans="2:16" ht="48" customHeight="1" x14ac:dyDescent="0.35">
      <c r="B9" s="97">
        <v>1020</v>
      </c>
      <c r="C9" s="98" t="s">
        <v>165</v>
      </c>
      <c r="D9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9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9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9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9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9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9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9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9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9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9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9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9" s="99">
        <f>SUM([1]!MonthlyExpensesSummary[[#This Row],[April]:[March]])</f>
        <v>0</v>
      </c>
    </row>
    <row r="10" spans="2:16" ht="48" customHeight="1" x14ac:dyDescent="0.35">
      <c r="B10" s="95">
        <v>1030</v>
      </c>
      <c r="C10" s="96" t="s">
        <v>27</v>
      </c>
      <c r="D10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0" s="238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0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0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0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0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0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0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0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0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0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0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0" s="99">
        <f>SUM([1]!MonthlyExpensesSummary[[#This Row],[April]:[March]])</f>
        <v>165.62</v>
      </c>
    </row>
    <row r="11" spans="2:16" ht="48" customHeight="1" x14ac:dyDescent="0.35">
      <c r="B11" s="97">
        <v>1040</v>
      </c>
      <c r="C11" s="98" t="s">
        <v>38</v>
      </c>
      <c r="D11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1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1" s="177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1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1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1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1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1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1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1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1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1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1" s="99">
        <f>SUM([1]!MonthlyExpensesSummary[[#This Row],[April]:[March]])</f>
        <v>210</v>
      </c>
    </row>
    <row r="12" spans="2:16" ht="48" customHeight="1" x14ac:dyDescent="0.35">
      <c r="B12" s="95">
        <v>1050</v>
      </c>
      <c r="C12" s="96" t="s">
        <v>41</v>
      </c>
      <c r="D12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2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2" s="177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2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2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2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2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2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2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2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2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2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2" s="99">
        <f>SUM([1]!MonthlyExpensesSummary[[#This Row],[April]:[March]])</f>
        <v>63.84</v>
      </c>
    </row>
    <row r="13" spans="2:16" ht="48" customHeight="1" x14ac:dyDescent="0.35">
      <c r="B13" s="97">
        <v>1060</v>
      </c>
      <c r="C13" s="98" t="s">
        <v>33</v>
      </c>
      <c r="D13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3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3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3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3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3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3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3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3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3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3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3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3" s="99">
        <f>SUM([1]!MonthlyExpensesSummary[[#This Row],[April]:[March]])</f>
        <v>710.85</v>
      </c>
    </row>
    <row r="14" spans="2:16" ht="48" customHeight="1" x14ac:dyDescent="0.35">
      <c r="B14" s="95">
        <v>1070</v>
      </c>
      <c r="C14" s="96" t="s">
        <v>35</v>
      </c>
      <c r="D14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4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4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4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4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4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4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4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4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4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4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4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4" s="99">
        <f>SUM([1]!MonthlyExpensesSummary[[#This Row],[April]:[March]])</f>
        <v>204.89</v>
      </c>
    </row>
    <row r="15" spans="2:16" ht="48" customHeight="1" x14ac:dyDescent="0.35">
      <c r="B15" s="97">
        <v>1080</v>
      </c>
      <c r="C15" s="98" t="s">
        <v>166</v>
      </c>
      <c r="D15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5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5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5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5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5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5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5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5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5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5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5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5" s="99">
        <f>SUM([1]!MonthlyExpensesSummary[[#This Row],[April]:[March]])</f>
        <v>1567</v>
      </c>
    </row>
    <row r="16" spans="2:16" ht="48" customHeight="1" x14ac:dyDescent="0.35">
      <c r="B16" s="95">
        <v>1090</v>
      </c>
      <c r="C16" s="96" t="s">
        <v>24</v>
      </c>
      <c r="D16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6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6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6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6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6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6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6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6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6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6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6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6" s="99">
        <f>SUM([1]!MonthlyExpensesSummary[[#This Row],[April]:[March]])</f>
        <v>1152.25</v>
      </c>
    </row>
    <row r="17" spans="2:16" ht="48" customHeight="1" x14ac:dyDescent="0.35">
      <c r="B17" s="97">
        <v>2010</v>
      </c>
      <c r="C17" s="98" t="s">
        <v>71</v>
      </c>
      <c r="D17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7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7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7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7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7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7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7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7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7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7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7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7" s="99">
        <f>SUM([1]!MonthlyExpensesSummary[[#This Row],[April]:[March]])</f>
        <v>180.93</v>
      </c>
    </row>
    <row r="18" spans="2:16" ht="48" customHeight="1" x14ac:dyDescent="0.35">
      <c r="B18" s="95">
        <v>2020</v>
      </c>
      <c r="C18" s="96" t="s">
        <v>54</v>
      </c>
      <c r="D18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8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8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8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8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8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8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8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8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8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8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8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8" s="99">
        <f>SUM([1]!MonthlyExpensesSummary[[#This Row],[April]:[March]])</f>
        <v>200</v>
      </c>
    </row>
    <row r="19" spans="2:16" ht="48" customHeight="1" x14ac:dyDescent="0.35">
      <c r="B19" s="97">
        <v>2030</v>
      </c>
      <c r="C19" s="98" t="s">
        <v>168</v>
      </c>
      <c r="D19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19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19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19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19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19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19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19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19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19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19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19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19" s="99">
        <f>SUM([1]!MonthlyExpensesSummary[[#This Row],[April]:[March]])</f>
        <v>0</v>
      </c>
    </row>
    <row r="20" spans="2:16" ht="48" customHeight="1" x14ac:dyDescent="0.35">
      <c r="B20" s="95">
        <v>3010</v>
      </c>
      <c r="C20" s="96" t="s">
        <v>59</v>
      </c>
      <c r="D20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0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0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0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0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0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0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0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0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0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0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0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0" s="99">
        <f>SUM([1]!MonthlyExpensesSummary[[#This Row],[April]:[March]])</f>
        <v>108</v>
      </c>
    </row>
    <row r="21" spans="2:16" ht="48" customHeight="1" x14ac:dyDescent="0.35">
      <c r="B21" s="97">
        <v>3020</v>
      </c>
      <c r="C21" s="98" t="s">
        <v>16</v>
      </c>
      <c r="D21" s="104">
        <v>90.97</v>
      </c>
      <c r="E21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1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1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1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1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1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1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1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1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1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1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1" s="99">
        <f>SUM([1]!MonthlyExpensesSummary[[#This Row],[April]:[March]])</f>
        <v>90.97</v>
      </c>
    </row>
    <row r="22" spans="2:16" ht="48" customHeight="1" x14ac:dyDescent="0.35">
      <c r="B22" s="95">
        <v>3030</v>
      </c>
      <c r="C22" s="96" t="s">
        <v>48</v>
      </c>
      <c r="D22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2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2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2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2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2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2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2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2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2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2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2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2" s="99">
        <f>SUM([1]!MonthlyExpensesSummary[[#This Row],[April]:[March]])</f>
        <v>3733.22</v>
      </c>
    </row>
    <row r="23" spans="2:16" ht="48" customHeight="1" x14ac:dyDescent="0.35">
      <c r="B23" s="97">
        <v>3040</v>
      </c>
      <c r="C23" s="98" t="s">
        <v>30</v>
      </c>
      <c r="D23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3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3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3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3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3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3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3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3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3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3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3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3" s="99">
        <f>SUM([1]!MonthlyExpensesSummary[[#This Row],[April]:[March]])</f>
        <v>3936</v>
      </c>
    </row>
    <row r="24" spans="2:16" ht="48" customHeight="1" x14ac:dyDescent="0.35">
      <c r="B24" s="95">
        <v>3050</v>
      </c>
      <c r="C24" s="96" t="s">
        <v>171</v>
      </c>
      <c r="D24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4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4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4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4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4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4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4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4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4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4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4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4" s="99">
        <f>SUM([1]!MonthlyExpensesSummary[[#This Row],[April]:[March]])</f>
        <v>0</v>
      </c>
    </row>
    <row r="25" spans="2:16" ht="48" customHeight="1" x14ac:dyDescent="0.35">
      <c r="B25" s="97">
        <v>3060</v>
      </c>
      <c r="C25" s="98" t="s">
        <v>189</v>
      </c>
      <c r="D25" s="104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5" s="105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5" s="106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5" s="110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5" s="111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5" s="112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5" s="116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5" s="117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5" s="118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5" s="119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5" s="121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5" s="122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5" s="99">
        <f>SUM([1]!MonthlyExpensesSummary[[#This Row],[April]:[March]])</f>
        <v>0</v>
      </c>
    </row>
    <row r="26" spans="2:16" ht="48" customHeight="1" x14ac:dyDescent="0.35">
      <c r="B26" s="123"/>
      <c r="C26" s="124"/>
      <c r="D26" s="125">
        <f>SUMIFS([1]!ItemizedExpenses[Total Amount],[1]!ItemizedExpenses[Nom Code],[1]!MonthlyExpensesSummary[[#This Row],[Nom Code]],[1]!ItemizedExpenses[Payment Date on card or when cheque written],"&gt;="&amp;D$4,[1]!ItemizedExpenses[Payment Date on card or when cheque written],"&lt;="&amp;D$5)+SUMIFS([1]!Other[Amount],[1]!Other[Folio],[1]!MonthlyExpensesSummary[[#This Row],[Nom Code]],[1]!Other[Date],"&gt;="&amp;DATEVALUE([1]!MonthlyExpensesSummary[[#Headers],[April]]&amp;" 1, "&amp;_YEAR),[1]!Other[Date],"&lt;="&amp;D$5)</f>
        <v>0</v>
      </c>
      <c r="E26" s="126">
        <f>SUMIFS([1]!ItemizedExpenses[Total Amount],[1]!ItemizedExpenses[Nom Code],[1]!MonthlyExpensesSummary[[#This Row],[Nom Code]],[1]!ItemizedExpenses[Payment Date on card or when cheque written],"&gt;="&amp;E$4,[1]!ItemizedExpenses[Payment Date on card or when cheque written],"&lt;="&amp;E$5)+SUMIFS([1]!Other[Amount],[1]!Other[Folio],[1]!MonthlyExpensesSummary[[#This Row],[Nom Code]],[1]!Other[Date],"&gt;="&amp;DATEVALUE([1]!MonthlyExpensesSummary[[#Headers],[May]]&amp;" 1, "&amp;_YEAR),[1]!Other[Date],"&lt;="&amp;E$5)</f>
        <v>0</v>
      </c>
      <c r="F26" s="127">
        <f>SUMIFS([1]!ItemizedExpenses[Total Amount],[1]!ItemizedExpenses[Nom Code],[1]!MonthlyExpensesSummary[[#This Row],[Nom Code]],[1]!ItemizedExpenses[Payment Date on card or when cheque written],"&gt;="&amp;F$4,[1]!ItemizedExpenses[Payment Date on card or when cheque written],"&lt;="&amp;F$5)+SUMIFS([1]!Other[Amount],[1]!Other[Folio],[1]!MonthlyExpensesSummary[[#This Row],[Nom Code]],[1]!Other[Date],"&gt;="&amp;DATEVALUE([1]!MonthlyExpensesSummary[[#Headers],[June]]&amp;" 1, "&amp;_YEAR),[1]!Other[Date],"&lt;="&amp;F$5)</f>
        <v>0</v>
      </c>
      <c r="G26" s="128">
        <f>SUMIFS([1]!ItemizedExpenses[Total Amount],[1]!ItemizedExpenses[Nom Code],[1]!MonthlyExpensesSummary[[#This Row],[Nom Code]],[1]!ItemizedExpenses[Payment Date on card or when cheque written],"&gt;="&amp;G$4,[1]!ItemizedExpenses[Payment Date on card or when cheque written],"&lt;="&amp;G$5)+SUMIFS([1]!Other[Amount],[1]!Other[Folio],[1]!MonthlyExpensesSummary[[#This Row],[Nom Code]],[1]!Other[Date],"&gt;="&amp;DATEVALUE([1]!MonthlyExpensesSummary[[#Headers],[July]]&amp;" 1, "&amp;_YEAR),[1]!Other[Date],"&lt;="&amp;G$5)</f>
        <v>0</v>
      </c>
      <c r="H26" s="129">
        <f>SUMIFS([1]!ItemizedExpenses[Total Amount],[1]!ItemizedExpenses[Nom Code],[1]!MonthlyExpensesSummary[[#This Row],[Nom Code]],[1]!ItemizedExpenses[Payment Date on card or when cheque written],"&gt;="&amp;H$4,[1]!ItemizedExpenses[Payment Date on card or when cheque written],"&lt;="&amp;H$5)+SUMIFS([1]!Other[Amount],[1]!Other[Folio],[1]!MonthlyExpensesSummary[[#This Row],[Nom Code]],[1]!Other[Date],"&gt;="&amp;DATEVALUE([1]!MonthlyExpensesSummary[[#Headers],[Aug]]&amp;" 1, "&amp;_YEAR),[1]!Other[Date],"&lt;="&amp;H$5)</f>
        <v>0</v>
      </c>
      <c r="I26" s="130">
        <f>SUMIFS([1]!ItemizedExpenses[Total Amount],[1]!ItemizedExpenses[Nom Code],[1]!MonthlyExpensesSummary[[#This Row],[Nom Code]],[1]!ItemizedExpenses[Payment Date on card or when cheque written],"&gt;="&amp;I$4,[1]!ItemizedExpenses[Payment Date on card or when cheque written],"&lt;="&amp;I$5)+SUMIFS([1]!Other[Amount],[1]!Other[Folio],[1]!MonthlyExpensesSummary[[#This Row],[Nom Code]],[1]!Other[Date],"&gt;="&amp;DATEVALUE([1]!MonthlyExpensesSummary[[#Headers],[Sept]]&amp;" 1, "&amp;_YEAR),[1]!Other[Date],"&lt;="&amp;I$5)</f>
        <v>0</v>
      </c>
      <c r="J26" s="131">
        <f>SUMIFS([1]!ItemizedExpenses[Total Amount],[1]!ItemizedExpenses[Nom Code],[1]!MonthlyExpensesSummary[[#This Row],[Nom Code]],[1]!ItemizedExpenses[Payment Date on card or when cheque written],"&gt;="&amp;J$4,[1]!ItemizedExpenses[Payment Date on card or when cheque written],"&lt;="&amp;J$5)+SUMIFS([1]!Other[Amount],[1]!Other[Folio],[1]!MonthlyExpensesSummary[[#This Row],[Nom Code]],[1]!Other[Date],"&gt;="&amp;DATEVALUE([1]!MonthlyExpensesSummary[[#Headers],[Oct]]&amp;" 1, "&amp;_YEAR),[1]!Other[Date],"&lt;="&amp;J$5)</f>
        <v>0</v>
      </c>
      <c r="K26" s="132">
        <f>SUMIFS([1]!ItemizedExpenses[Total Amount],[1]!ItemizedExpenses[Nom Code],[1]!MonthlyExpensesSummary[[#This Row],[Nom Code]],[1]!ItemizedExpenses[Payment Date on card or when cheque written],"&gt;="&amp;K$4,[1]!ItemizedExpenses[Payment Date on card or when cheque written],"&lt;="&amp;K$5)+SUMIFS([1]!Other[Amount],[1]!Other[Folio],[1]!MonthlyExpensesSummary[[#This Row],[Nom Code]],[1]!Other[Date],"&gt;="&amp;DATEVALUE([1]!MonthlyExpensesSummary[[#Headers],[Nov]]&amp;" 1, "&amp;_YEAR),[1]!Other[Date],"&lt;="&amp;K$5)</f>
        <v>0</v>
      </c>
      <c r="L26" s="133">
        <f>SUMIFS([1]!ItemizedExpenses[Total Amount],[1]!ItemizedExpenses[Nom Code],[1]!MonthlyExpensesSummary[[#This Row],[Nom Code]],[1]!ItemizedExpenses[Payment Date on card or when cheque written],"&gt;="&amp;L$4,[1]!ItemizedExpenses[Payment Date on card or when cheque written],"&lt;="&amp;L$5)+SUMIFS([1]!Other[Amount],[1]!Other[Folio],[1]!MonthlyExpensesSummary[[#This Row],[Nom Code]],[1]!Other[Date],"&gt;="&amp;DATEVALUE([1]!MonthlyExpensesSummary[[#Headers],[Dec]]&amp;" 1, "&amp;_YEAR),[1]!Other[Date],"&lt;="&amp;L$5)</f>
        <v>0</v>
      </c>
      <c r="M26" s="134">
        <f>SUMIFS([1]!ItemizedExpenses[Total Amount],[1]!ItemizedExpenses[Nom Code],[1]!MonthlyExpensesSummary[[#This Row],[Nom Code]],[1]!ItemizedExpenses[Payment Date on card or when cheque written],"&gt;="&amp;M$4,[1]!ItemizedExpenses[Payment Date on card or when cheque written],"&lt;="&amp;M$5)+SUMIFS([1]!Other[Amount],[1]!Other[Folio],[1]!MonthlyExpensesSummary[[#This Row],[Nom Code]],[1]!Other[Date],"&gt;="&amp;DATEVALUE([1]!MonthlyExpensesSummary[[#Headers],[January]]&amp;" 1, "&amp;_YEAR+1),[1]!Other[Date],"&lt;="&amp;M$5)</f>
        <v>0</v>
      </c>
      <c r="N26" s="135">
        <f>SUMIFS([1]!ItemizedExpenses[Total Amount],[1]!ItemizedExpenses[Nom Code],[1]!MonthlyExpensesSummary[[#This Row],[Nom Code]],[1]!ItemizedExpenses[Payment Date on card or when cheque written],"&gt;="&amp;N$4,[1]!ItemizedExpenses[Payment Date on card or when cheque written],"&lt;="&amp;N$5)+SUMIFS([1]!Other[Amount],[1]!Other[Folio],[1]!MonthlyExpensesSummary[[#This Row],[Nom Code]],[1]!Other[Date],"&gt;="&amp;DATEVALUE(#REF!&amp;" 1, "&amp;_YEAR),[1]!Other[Date],"&lt;="&amp;N$5)</f>
        <v>0</v>
      </c>
      <c r="O26" s="136">
        <f>SUMIFS([1]!ItemizedExpenses[Total Amount],[1]!ItemizedExpenses[Nom Code],[1]!MonthlyExpensesSummary[[#This Row],[Nom Code]],[1]!ItemizedExpenses[Payment Date on card or when cheque written],"&gt;="&amp;O$4,[1]!ItemizedExpenses[Payment Date on card or when cheque written],"&lt;="&amp;O$5)+SUMIFS([1]!Other[Amount],[1]!Other[Folio],[1]!MonthlyExpensesSummary[[#This Row],[Nom Code]],[1]!Other[Date],"&gt;="&amp;DATEVALUE(#REF!&amp;" 1, "&amp;_YEAR),[1]!Other[Date],"&lt;="&amp;O$5)</f>
        <v>0</v>
      </c>
      <c r="P26" s="137">
        <f>SUM([1]!MonthlyExpensesSummary[[#This Row],[April]:[March]])</f>
        <v>0</v>
      </c>
    </row>
    <row r="27" spans="2:16" ht="48" customHeight="1" x14ac:dyDescent="0.35">
      <c r="B27" s="138" t="s">
        <v>120</v>
      </c>
      <c r="C27" s="139"/>
      <c r="D27" s="140">
        <f>SUBTOTAL(109,[1]!MonthlyExpensesSummary[April])</f>
        <v>539.04999999999995</v>
      </c>
      <c r="E27" s="141">
        <f>SUBTOTAL(109,[1]!MonthlyExpensesSummary[May])</f>
        <v>1817.13</v>
      </c>
      <c r="F27" s="142">
        <f>SUBTOTAL(109,[1]!MonthlyExpensesSummary[June])</f>
        <v>1063.92</v>
      </c>
      <c r="G27" s="143">
        <f>SUBTOTAL(109,[1]!MonthlyExpensesSummary[July])</f>
        <v>1047</v>
      </c>
      <c r="H27" s="144">
        <f>SUBTOTAL(109,[1]!MonthlyExpensesSummary[Aug])</f>
        <v>704</v>
      </c>
      <c r="I27" s="145">
        <f>SUBTOTAL(109,[1]!MonthlyExpensesSummary[Sept])</f>
        <v>962.43000000000006</v>
      </c>
      <c r="J27" s="146">
        <f>SUBTOTAL(109,[1]!MonthlyExpensesSummary[Oct])</f>
        <v>1087.07</v>
      </c>
      <c r="K27" s="147">
        <f>SUBTOTAL(109,[1]!MonthlyExpensesSummary[Nov])</f>
        <v>862.56</v>
      </c>
      <c r="L27" s="148">
        <f>SUBTOTAL(109,[1]!MonthlyExpensesSummary[Dec])</f>
        <v>85</v>
      </c>
      <c r="M27" s="149">
        <f>SUBTOTAL(109,[1]!MonthlyExpensesSummary[January])</f>
        <v>1532.77</v>
      </c>
      <c r="N27" s="150">
        <f>SUBTOTAL(109,[1]!MonthlyExpensesSummary[February])</f>
        <v>1816.52</v>
      </c>
      <c r="O27" s="151">
        <f>SUBTOTAL(109,[1]!MonthlyExpensesSummary[March])</f>
        <v>4028.75</v>
      </c>
      <c r="P27" s="152">
        <f>SUBTOTAL(109,[1]!MonthlyExpensesSummary[Total])</f>
        <v>15546.2</v>
      </c>
    </row>
    <row r="28" spans="2:16" ht="30" customHeight="1" x14ac:dyDescent="0.35">
      <c r="E28" s="172" t="s">
        <v>190</v>
      </c>
      <c r="F28" s="171">
        <f>SUM([1]!MonthlyExpensesSummary[[#Totals],[April]:[June]])</f>
        <v>3420.1000000000004</v>
      </c>
      <c r="H28" s="172" t="str">
        <f>E28</f>
        <v>Quarter Total</v>
      </c>
      <c r="I28" s="170">
        <f>SUM([1]!MonthlyExpensesSummary[[#Totals],[July]:[Sept]])</f>
        <v>2713.4300000000003</v>
      </c>
      <c r="K28" s="172" t="str">
        <f>H28</f>
        <v>Quarter Total</v>
      </c>
      <c r="L28" s="169">
        <f>SUM([1]!MonthlyExpensesSummary[[#Totals],[Oct]:[Dec]])</f>
        <v>2034.6299999999999</v>
      </c>
      <c r="N28" s="172" t="str">
        <f>K28</f>
        <v>Quarter Total</v>
      </c>
      <c r="O28" s="168">
        <f>SUM([1]!MonthlyExpensesSummary[[#Totals],[January]:[February]])</f>
        <v>3349.29</v>
      </c>
    </row>
    <row r="29" spans="2:16" ht="22.9" customHeight="1" x14ac:dyDescent="0.35"/>
    <row r="30" spans="2:16" ht="24" customHeight="1" x14ac:dyDescent="0.35">
      <c r="N30" s="167"/>
    </row>
    <row r="31" spans="2:16" ht="30" customHeight="1" x14ac:dyDescent="0.35">
      <c r="N31" s="167"/>
    </row>
  </sheetData>
  <phoneticPr fontId="12" type="noConversion"/>
  <conditionalFormatting sqref="D7:F26">
    <cfRule type="cellIs" dxfId="3" priority="4" operator="greaterThan">
      <formula>0</formula>
    </cfRule>
  </conditionalFormatting>
  <conditionalFormatting sqref="G7:I26">
    <cfRule type="cellIs" dxfId="2" priority="3" operator="greaterThan">
      <formula>0</formula>
    </cfRule>
  </conditionalFormatting>
  <conditionalFormatting sqref="J7:L26">
    <cfRule type="cellIs" dxfId="1" priority="2" operator="greaterThan">
      <formula>0</formula>
    </cfRule>
  </conditionalFormatting>
  <conditionalFormatting sqref="M7:O26">
    <cfRule type="cellIs" dxfId="0" priority="1" operator="greaterThan">
      <formula>0</formula>
    </cfRule>
  </conditionalFormatting>
  <dataValidations count="8">
    <dataValidation allowBlank="1" showInputMessage="1" showErrorMessage="1" prompt="Create Monthly Expenses Summary in this worksheet. Enter details in Monthly Expenses table. Navigation links in cells B1 and C1 go to Previous and Next worksheet" sqref="A1" xr:uid="{00000000-0002-0000-0100-000000000000}"/>
    <dataValidation allowBlank="1" showInputMessage="1" showErrorMessage="1" prompt="Enter General Ledger code in this column under this heading" sqref="B6" xr:uid="{BB147046-1F4E-4CC6-B87D-56ED9CE6971E}"/>
    <dataValidation allowBlank="1" showInputMessage="1" showErrorMessage="1" prompt="Enter Account Title in this column under this heading" sqref="C6" xr:uid="{D4B44DED-8B21-4570-B65B-C56A8C5F08B6}"/>
    <dataValidation allowBlank="1" showInputMessage="1" showErrorMessage="1" prompt="Total is automatically calculated in this column under this heading" sqref="P6" xr:uid="{553DDCC5-F102-45E3-AA37-CA8D22FBABE8}"/>
    <dataValidation allowBlank="1" showInputMessage="1" showErrorMessage="1" prompt="Navigation link is in this cell. Select to go to YTD BUDGET SUMMARY worksheet" sqref="B1" xr:uid="{00000000-0002-0000-0100-000006000000}"/>
    <dataValidation allowBlank="1" showInputMessage="1" showErrorMessage="1" prompt="Navigation link is in this cell. Select to go to ITEMIZED EXPENSES worksheet" sqref="C1" xr:uid="{00000000-0002-0000-0100-000007000000}"/>
    <dataValidation allowBlank="1" showInputMessage="1" showErrorMessage="1" prompt="Actual amount for this month is automatically calculated in this column under this heading" sqref="D6:O6" xr:uid="{0F1CCC3D-26E4-4760-9A07-4E92FB0CA7BA}"/>
    <dataValidation allowBlank="1" showInputMessage="1" showErrorMessage="1" prompt="Title of this worksheet is in this cell. Slicer to filter table by Account Title is in cell B3. Do not delete formulas in cells D3 through O4" sqref="B2:P3" xr:uid="{00000000-0002-0000-0100-000008000000}"/>
  </dataValidations>
  <printOptions horizontalCentered="1"/>
  <pageMargins left="0" right="0" top="0.39370078740157483" bottom="0" header="0.11811023622047245" footer="0.11811023622047245"/>
  <pageSetup paperSize="9" scale="5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T a b l e X M L _ I t e m i z e d E x p e n s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 F o l i o < / s t r i n g > < / k e y > < v a l u e > < i n t > 6 7 < / i n t > < / v a l u e > < / i t e m > < i t e m > < k e y > < s t r i n g > G / L   C o d e < / s t r i n g > < / k e y > < v a l u e > < i n t > 9 2 < / i n t > < / v a l u e > < / i t e m > < i t e m > < k e y > < s t r i n g > C a t e g o r y < / s t r i n g > < / k e y > < v a l u e > < i n t > 9 1 < / i n t > < / v a l u e > < / i t e m > < i t e m > < k e y > < s t r i n g > S u b   C a t e g o r y < / s t r i n g > < / k e y > < v a l u e > < i n t > 1 1 7 < / i n t > < / v a l u e > < / i t e m > < i t e m > < k e y > < s t r i n g > P a y m e n t   D a t e < / s t r i n g > < / k e y > < v a l u e > < i n t > 1 2 3 < / i n t > < / v a l u e > < / i t e m > < i t e m > < k e y > < s t r i n g > I n v o i c e   # < / s t r i n g > < / k e y > < v a l u e > < i n t > 9 1 < / i n t > < / v a l u e > < / i t e m > < i t e m > < k e y > < s t r i n g > R e q u e s t e d   b y < / s t r i n g > < / k e y > < v a l u e > < i n t > 1 2 1 < / i n t > < / v a l u e > < / i t e m > < i t e m > < k e y > < s t r i n g > P a y m e n t   T y p e < / s t r i n g > < / k e y > < v a l u e > < i n t > 1 2 3 < / i n t > < / v a l u e > < / i t e m > < i t e m > < k e y > < s t r i n g > C h e c k   A m o u n t < / s t r i n g > < / k e y > < v a l u e > < i n t > 1 2 6 < / i n t > < / v a l u e > < / i t e m > < i t e m > < k e y > < s t r i n g > P a y e e < / s t r i n g > < / k e y > < v a l u e > < i n t > 7 4 < / i n t > < / v a l u e > < / i t e m > < i t e m > < k e y > < s t r i n g > C h e c k   U s e < / s t r i n g > < / k e y > < v a l u e > < i n t > 9 9 < / i n t > < / v a l u e > < / i t e m > < i t e m > < k e y > < s t r i n g > M e t h o d   o f   D i s t r i b u t i o n < / s t r i n g > < / k e y > < v a l u e > < i n t > 1 7 7 < / i n t > < / v a l u e > < / i t e m > < i t e m > < k e y > < s t r i n g > F i l e   D a t e < / s t r i n g > < / k e y > < v a l u e > < i n t > 9 1 < / i n t > < / v a l u e > < / i t e m > < i t e m > < k e y > < s t r i n g > P a y m e n t   D a t e   ( Q u a r t e r ) < / s t r i n g > < / k e y > < v a l u e > < i n t > 1 8 4 < / i n t > < / v a l u e > < / i t e m > < i t e m > < k e y > < s t r i n g > P a y m e n t   D a t e   ( Y e a r ) < / s t r i n g > < / k e y > < v a l u e > < i n t > 1 6 2 < / i n t > < / v a l u e > < / i t e m > < i t e m > < k e y > < s t r i n g > P a y m e n t   D a t e   ( M o n t h   I n d e x ) < / s t r i n g > < / k e y > < v a l u e > < i n t > 2 1 5 < / i n t > < / v a l u e > < / i t e m > < i t e m > < k e y > < s t r i n g > P a y m e n t   D a t e   ( M o n t h ) < / s t r i n g > < / k e y > < v a l u e > < i n t > 1 7 7 < / i n t > < / v a l u e > < / i t e m > < / C o l u m n W i d t h s > < C o l u m n D i s p l a y I n d e x > < i t e m > < k e y > < s t r i n g > F o l i o < / s t r i n g > < / k e y > < v a l u e > < i n t > 0 < / i n t > < / v a l u e > < / i t e m > < i t e m > < k e y > < s t r i n g > G / L   C o d e < / s t r i n g > < / k e y > < v a l u e > < i n t > 1 < / i n t > < / v a l u e > < / i t e m > < i t e m > < k e y > < s t r i n g > C a t e g o r y < / s t r i n g > < / k e y > < v a l u e > < i n t > 2 < / i n t > < / v a l u e > < / i t e m > < i t e m > < k e y > < s t r i n g > S u b   C a t e g o r y < / s t r i n g > < / k e y > < v a l u e > < i n t > 3 < / i n t > < / v a l u e > < / i t e m > < i t e m > < k e y > < s t r i n g > P a y m e n t   D a t e < / s t r i n g > < / k e y > < v a l u e > < i n t > 4 < / i n t > < / v a l u e > < / i t e m > < i t e m > < k e y > < s t r i n g > I n v o i c e   # < / s t r i n g > < / k e y > < v a l u e > < i n t > 5 < / i n t > < / v a l u e > < / i t e m > < i t e m > < k e y > < s t r i n g > R e q u e s t e d   b y < / s t r i n g > < / k e y > < v a l u e > < i n t > 6 < / i n t > < / v a l u e > < / i t e m > < i t e m > < k e y > < s t r i n g > P a y m e n t   T y p e < / s t r i n g > < / k e y > < v a l u e > < i n t > 7 < / i n t > < / v a l u e > < / i t e m > < i t e m > < k e y > < s t r i n g > C h e c k   A m o u n t < / s t r i n g > < / k e y > < v a l u e > < i n t > 8 < / i n t > < / v a l u e > < / i t e m > < i t e m > < k e y > < s t r i n g > P a y e e < / s t r i n g > < / k e y > < v a l u e > < i n t > 9 < / i n t > < / v a l u e > < / i t e m > < i t e m > < k e y > < s t r i n g > C h e c k   U s e < / s t r i n g > < / k e y > < v a l u e > < i n t > 1 0 < / i n t > < / v a l u e > < / i t e m > < i t e m > < k e y > < s t r i n g > M e t h o d   o f   D i s t r i b u t i o n < / s t r i n g > < / k e y > < v a l u e > < i n t > 1 1 < / i n t > < / v a l u e > < / i t e m > < i t e m > < k e y > < s t r i n g > F i l e   D a t e < / s t r i n g > < / k e y > < v a l u e > < i n t > 1 2 < / i n t > < / v a l u e > < / i t e m > < i t e m > < k e y > < s t r i n g > P a y m e n t   D a t e   ( Q u a r t e r ) < / s t r i n g > < / k e y > < v a l u e > < i n t > 1 4 < / i n t > < / v a l u e > < / i t e m > < i t e m > < k e y > < s t r i n g > P a y m e n t   D a t e   ( Y e a r ) < / s t r i n g > < / k e y > < v a l u e > < i n t > 1 3 < / i n t > < / v a l u e > < / i t e m > < i t e m > < k e y > < s t r i n g > P a y m e n t   D a t e   ( M o n t h   I n d e x ) < / s t r i n g > < / k e y > < v a l u e > < i n t > 1 5 < / i n t > < / v a l u e > < / i t e m > < i t e m > < k e y > < s t r i n g > P a y m e n t   D a t e   ( M o n t h ) 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U D A A B Q S w M E F A A C A A g A Q J B X W c v e 3 T G l A A A A 9 Q A A A B I A H A B D b 2 5 m a W c v U G F j a 2 F n Z S 5 4 b W w g o h g A K K A U A A A A A A A A A A A A A A A A A A A A A A A A A A A A h Y 9 B D o I w F E S v Q r q n L R C j I Z + S 6 M K N J C Y m x m 1 T K j T C x 9 A i 3 M 2 F R / I K Y h R 1 5 3 L e v M X M / X q D d K g r 7 6 J b a x p M S E A 5 8 T S q J j d Y J K R z R 3 9 B U g F b q U 6 y 0 N 4 o o 4 0 H m y e k d O 4 c M 9 b 3 P e 0 j 2 r Q F C z k P 2 C H b 7 F S p a 0 k + s v k v + w a t k 6 g 0 E b B / j R E h D a K I z u a U A 5 s Y Z A a / f T j O f b Y / E F Z d 5 b p W C 4 3 + e g l s i s D e F 8 Q D U E s D B B Q A A g A I A E C Q V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k F d Z K I p H u A 4 A A A A R A A A A E w A c A E Z v c m 1 1 b G F z L 1 N l Y 3 R p b 2 4 x L m 0 g o h g A K K A U A A A A A A A A A A A A A A A A A A A A A A A A A A A A K 0 5 N L s n M z 1 M I h t C G 1 g B Q S w E C L Q A U A A I A C A B A k F d Z y 9 7 d M a U A A A D 1 A A A A E g A A A A A A A A A A A A A A A A A A A A A A Q 2 9 u Z m l n L 1 B h Y 2 t h Z 2 U u e G 1 s U E s B A i 0 A F A A C A A g A Q J B X W Q / K 6 a u k A A A A 6 Q A A A B M A A A A A A A A A A A A A A A A A 8 Q A A A F t D b 2 5 0 Z W 5 0 X 1 R 5 c G V z X S 5 4 b W x Q S w E C L Q A U A A I A C A B A k F d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P E 2 E e N r 2 U S 6 + Z M 8 O K z E 6 Q A A A A A C A A A A A A A Q Z g A A A A E A A C A A A A B L V e 8 6 5 u r K P R J k U 4 S V X h j r N t F q J 0 C e / J H 2 L o x l z C 8 9 N Q A A A A A O g A A A A A I A A C A A A A B I u 8 r L T d x w l a N r u u q z p 9 b G z 5 2 o t Q j 8 l F K Q 1 E e z o j y k C 1 A A A A D L C v y g f t G Y 1 4 w t y 4 B z A h K d 1 W b O 0 X x 8 W y x r 7 I 1 z / + q 0 K o b c K f i L E a / H L r e c k d u 9 q 3 5 8 X z 6 L A K G B A g s + X 4 v X I 9 w u i 5 v X + 4 T 4 6 H x n b N G j Q C B n F 0 A A A A D 3 C i p I 0 / 5 S 4 Y S u Q a V 9 u u N g u p x 6 / d c 6 W 9 e o 9 j R j w J / X 2 C P N 4 X m t T D W D v E q x i x Y A 3 8 7 y x + 2 9 k T q + f m r c 5 E 5 u a g b x < / D a t a M a s h u p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I t e m i z e d E x p e n s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 2 0 2 4 - 0 6 - 1 0 T 1 9 : 2 2 : 5 0 . 1 0 4 6 2 2 6 + 0 1 : 0 0 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 I t e m i z e d E x p e n s e s 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 I t e m i z e d E x p e n s e s 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 C o l u m n s \ F o l i o < / K e y > < / D i a g r a m O b j e c t K e y > < D i a g r a m O b j e c t K e y > < K e y > C o l u m n s \ G / L   C o d e < / K e y > < / D i a g r a m O b j e c t K e y > < D i a g r a m O b j e c t K e y > < K e y > C o l u m n s \ C a t e g o r y < / K e y > < / D i a g r a m O b j e c t K e y > < D i a g r a m O b j e c t K e y > < K e y > C o l u m n s \ S u b   C a t e g o r y < / K e y > < / D i a g r a m O b j e c t K e y > < D i a g r a m O b j e c t K e y > < K e y > C o l u m n s \ P a y m e n t   D a t e < / K e y > < / D i a g r a m O b j e c t K e y > < D i a g r a m O b j e c t K e y > < K e y > C o l u m n s \ I n v o i c e   # < / K e y > < / D i a g r a m O b j e c t K e y > < D i a g r a m O b j e c t K e y > < K e y > C o l u m n s \ R e q u e s t e d   b y < / K e y > < / D i a g r a m O b j e c t K e y > < D i a g r a m O b j e c t K e y > < K e y > C o l u m n s \ P a y m e n t   T y p e < / K e y > < / D i a g r a m O b j e c t K e y > < D i a g r a m O b j e c t K e y > < K e y > C o l u m n s \ C h e c k   A m o u n t < / K e y > < / D i a g r a m O b j e c t K e y > < D i a g r a m O b j e c t K e y > < K e y > C o l u m n s \ P a y e e < / K e y > < / D i a g r a m O b j e c t K e y > < D i a g r a m O b j e c t K e y > < K e y > C o l u m n s \ C h e c k   U s e < / K e y > < / D i a g r a m O b j e c t K e y > < D i a g r a m O b j e c t K e y > < K e y > C o l u m n s \ M e t h o d   o f   D i s t r i b u t i o n < / K e y > < / D i a g r a m O b j e c t K e y > < D i a g r a m O b j e c t K e y > < K e y > C o l u m n s \ F i l e   D a t e < / K e y > < / D i a g r a m O b j e c t K e y > < D i a g r a m O b j e c t K e y > < K e y > M e a s u r e s \ E x p e n s e s < / K e y > < / D i a g r a m O b j e c t K e y > < D i a g r a m O b j e c t K e y > < K e y > M e a s u r e s \ E x p e n s e s \ T a g I n f o \ F o r m u l a < / K e y > < / D i a g r a m O b j e c t K e y > < D i a g r a m O b j e c t K e y > < K e y > M e a s u r e s \ E x p e n s e s \ T a g I n f o \ V a l u e < / K e y > < / D i a g r a m O b j e c t K e y > < D i a g r a m O b j e c t K e y > < K e y > C o l u m n s \ P a y m e n t   D a t e   ( Y e a r ) < / K e y > < / D i a g r a m O b j e c t K e y > < D i a g r a m O b j e c t K e y > < K e y > C o l u m n s \ P a y m e n t   D a t e   ( Q u a r t e r ) < / K e y > < / D i a g r a m O b j e c t K e y > < D i a g r a m O b j e c t K e y > < K e y > C o l u m n s \ P a y m e n t   D a t e   ( M o n t h   I n d e x ) < / K e y > < / D i a g r a m O b j e c t K e y > < D i a g r a m O b j e c t K e y > < K e y > C o l u m n s \ P a y m e n t   D a t e   ( M o n t h ) 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 1 < / F o c u s R o w > < S e l e c t i o n E n d C o l u m n > 8 < / S e l e c t i o n E n d C o l u m n > < S e l e c t i o n E n d R o w > 1 < / S e l e c t i o n E n d R o w > < S e l e c t i o n S t a r t C o l u m n > 8 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 C o l u m n s \ F o l i o 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 C o l u m n s \ G / L  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  C a t e g o r y 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  # 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 C o l u m n s \ R e q u e s t e d   b y 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 T y p e 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 C o l u m n s \ C h e c k  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 C o l u m n s \ P a y e e 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 C o l u m n s \ C h e c k   U s e 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 C o l u m n s \ M e t h o d   o f   D i s t r i b u t i o n 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 C o l u m n s \ F i l e   D a t e 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 M e a s u r e s \ E x p e n s e s 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 M e a s u r e s \ E x p e n s e s \ T a g I n f o \ F o r m u l a 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 M e a s u r e s \ E x p e n s e s \ T a g I n f o \ V a l u e 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 C o l u m n s \ P a y m e n t   D a t e   ( Y e a r ) 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 D a t e   ( Q u a r t e r ) 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 D a t e   ( M o n t h   I n d e x ) 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 D a t e   ( M o n t h ) 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I t e m i z e d E x p e n s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 I t e m i z e d E x p e n s e s 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 3 5 9 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b f f 6 4 0 b 2 - 8 d d 8 - 4 3 5 2 - 8 9 0 2 - d 2 1 d 7 e c a e 3 c 8 " > < C u s t o m C o n t e n t > < ! [ C D A T A [ < ? x m l   v e r s i o n = " 1 . 0 "   e n c o d i n g = " u t f - 1 6 " ? > < S e t t i n g s > < C a l c u l a t e d F i e l d s > < i t e m > < M e a s u r e N a m e > E x p e n s e s < / M e a s u r e N a m e > < D i s p l a y N a m e > E x p e n s e s 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 I t e m i z e d E x p e n s e s 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 I t e m i z e d E x p e n s e s 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 C o l u m n s \ F o l i o 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 C o l u m n s \ G / L 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 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  # 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 C o l u m n s \ R e q u e s t e d  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 C o l u m n s \ C h e c k 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 C o l u m n s \ C h e c k  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 C o l u m n s \ M e t h o d   o f   D i s t r i b u t i o n 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 C o l u m n s \ F i l e 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 C o l u m n s \ E x p e n s e s 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 D a t e   ( Q u a r t e r ) 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AC0C1C6F-AB95-4377-86A5-01812B38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44833BAF-D48A-4EFE-9038-1BD30BE28E18}">
  <ds:schemaRefs>
    <ds:schemaRef ds:uri="http://gemini/pivotcustomization/ShowImplicitMeasures"/>
  </ds:schemaRefs>
</ds:datastoreItem>
</file>

<file path=customXml/itemProps11.xml><?xml version="1.0" encoding="utf-8"?>
<ds:datastoreItem xmlns:ds="http://schemas.openxmlformats.org/officeDocument/2006/customXml" ds:itemID="{33E015DD-ECC5-4D38-BDD9-6976DD0470AE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customXml/itemProps12.xml><?xml version="1.0" encoding="utf-8"?>
<ds:datastoreItem xmlns:ds="http://schemas.openxmlformats.org/officeDocument/2006/customXml" ds:itemID="{7D63091B-2789-468E-87C9-11CD5FBAAD6E}">
  <ds:schemaRefs>
    <ds:schemaRef ds:uri="http://gemini/pivotcustomization/TableXML_ItemizedExpenses"/>
  </ds:schemaRefs>
</ds:datastoreItem>
</file>

<file path=customXml/itemProps13.xml><?xml version="1.0" encoding="utf-8"?>
<ds:datastoreItem xmlns:ds="http://schemas.openxmlformats.org/officeDocument/2006/customXml" ds:itemID="{8EDFE6CE-5CD3-4117-AB4A-DD28AD128504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12DDEEDF-E209-4A6E-86B4-8C1DA6E6D623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8098C7A6-B56E-4201-9587-4208EED2FB56}">
  <ds:schemaRefs>
    <ds:schemaRef ds:uri="http://gemini/pivotcustomization/ErrorCache"/>
  </ds:schemaRefs>
</ds:datastoreItem>
</file>

<file path=customXml/itemProps16.xml><?xml version="1.0" encoding="utf-8"?>
<ds:datastoreItem xmlns:ds="http://schemas.openxmlformats.org/officeDocument/2006/customXml" ds:itemID="{58B46003-C799-4BE0-9CB0-ABAB8D2041D3}">
  <ds:schemaRefs>
    <ds:schemaRef ds:uri="http://gemini/pivotcustomization/ShowHidden"/>
  </ds:schemaRefs>
</ds:datastoreItem>
</file>

<file path=customXml/itemProps17.xml><?xml version="1.0" encoding="utf-8"?>
<ds:datastoreItem xmlns:ds="http://schemas.openxmlformats.org/officeDocument/2006/customXml" ds:itemID="{CA6F2FA5-664C-4AAB-A722-D04804845707}">
  <ds:schemaRefs>
    <ds:schemaRef ds:uri="http://gemini/pivotcustomization/RelationshipAutoDetectionEnabled"/>
  </ds:schemaRefs>
</ds:datastoreItem>
</file>

<file path=customXml/itemProps18.xml><?xml version="1.0" encoding="utf-8"?>
<ds:datastoreItem xmlns:ds="http://schemas.openxmlformats.org/officeDocument/2006/customXml" ds:itemID="{4E539754-522C-4B09-B7F9-E8F1379EABF0}">
  <ds:schemaRefs>
    <ds:schemaRef ds:uri="http://gemini/pivotcustomization/Diagrams"/>
  </ds:schemaRefs>
</ds:datastoreItem>
</file>

<file path=customXml/itemProps19.xml><?xml version="1.0" encoding="utf-8"?>
<ds:datastoreItem xmlns:ds="http://schemas.openxmlformats.org/officeDocument/2006/customXml" ds:itemID="{ACDC9A4A-F9B2-46CF-B663-23045513C368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8F38F2DA-375C-4A13-9A8D-F09C67CA6ABD}">
  <ds:schemaRefs>
    <ds:schemaRef ds:uri="http://gemini/pivotcustomization/LinkedTableUpdateMode"/>
  </ds:schemaRefs>
</ds:datastoreItem>
</file>

<file path=customXml/itemProps20.xml><?xml version="1.0" encoding="utf-8"?>
<ds:datastoreItem xmlns:ds="http://schemas.openxmlformats.org/officeDocument/2006/customXml" ds:itemID="{0AB2BF90-1DF1-4B2A-91A9-B58AB7EE2B0C}">
  <ds:schemaRefs>
    <ds:schemaRef ds:uri="http://gemini/pivotcustomization/SandboxNonEmpty"/>
  </ds:schemaRefs>
</ds:datastoreItem>
</file>

<file path=customXml/itemProps21.xml><?xml version="1.0" encoding="utf-8"?>
<ds:datastoreItem xmlns:ds="http://schemas.openxmlformats.org/officeDocument/2006/customXml" ds:itemID="{2F7BAB3A-BDA3-4C7C-AD56-DA1DE2009FD2}">
  <ds:schemaRefs>
    <ds:schemaRef ds:uri="http://gemini/pivotcustomization/MeasureGridState"/>
  </ds:schemaRefs>
</ds:datastoreItem>
</file>

<file path=customXml/itemProps3.xml><?xml version="1.0" encoding="utf-8"?>
<ds:datastoreItem xmlns:ds="http://schemas.openxmlformats.org/officeDocument/2006/customXml" ds:itemID="{CC5A8B5A-3AE9-4D43-8ADA-003D684825F3}">
  <ds:schemaRefs>
    <ds:schemaRef ds:uri="http://gemini/pivotcustomization/bff640b2-8dd8-4352-8902-d21d7ecae3c8"/>
  </ds:schemaRefs>
</ds:datastoreItem>
</file>

<file path=customXml/itemProps4.xml><?xml version="1.0" encoding="utf-8"?>
<ds:datastoreItem xmlns:ds="http://schemas.openxmlformats.org/officeDocument/2006/customXml" ds:itemID="{06F9A469-4DF1-46CA-A312-E2289D055944}">
  <ds:schemaRefs>
    <ds:schemaRef ds:uri="http://gemini/pivotcustomization/ManualCalcMode"/>
  </ds:schemaRefs>
</ds:datastoreItem>
</file>

<file path=customXml/itemProps5.xml><?xml version="1.0" encoding="utf-8"?>
<ds:datastoreItem xmlns:ds="http://schemas.openxmlformats.org/officeDocument/2006/customXml" ds:itemID="{0249BA10-6F7C-4F84-BF2A-EEEE5F2479DF}">
  <ds:schemaRefs>
    <ds:schemaRef ds:uri="http://gemini/pivotcustomization/IsSandboxEmbedded"/>
  </ds:schemaRefs>
</ds:datastoreItem>
</file>

<file path=customXml/itemProps6.xml><?xml version="1.0" encoding="utf-8"?>
<ds:datastoreItem xmlns:ds="http://schemas.openxmlformats.org/officeDocument/2006/customXml" ds:itemID="{1B079A41-A4C9-4028-B131-EB85F31E48EA}">
  <ds:schemaRefs>
    <ds:schemaRef ds:uri="http://gemini/pivotcustomization/PowerPivotVersion"/>
  </ds:schemaRefs>
</ds:datastoreItem>
</file>

<file path=customXml/itemProps7.xml><?xml version="1.0" encoding="utf-8"?>
<ds:datastoreItem xmlns:ds="http://schemas.openxmlformats.org/officeDocument/2006/customXml" ds:itemID="{5838834D-44CA-4B7A-B6B2-4CC9567B5E95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C825676C-D895-408F-9172-D763C9FB268B}">
  <ds:schemaRefs>
    <ds:schemaRef ds:uri="http://gemini/pivotcustomization/TableWidget"/>
  </ds:schemaRefs>
</ds:datastoreItem>
</file>

<file path=customXml/itemProps9.xml><?xml version="1.0" encoding="utf-8"?>
<ds:datastoreItem xmlns:ds="http://schemas.openxmlformats.org/officeDocument/2006/customXml" ds:itemID="{E8239674-B81C-436F-96F5-F69AD58D211E}">
  <ds:schemaRefs>
    <ds:schemaRef ds:uri="http://gemini/pivotcustomization/FormulaBarStat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TM77956137</Templat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Cash Book</vt:lpstr>
      <vt:lpstr>Bank reconciliation</vt:lpstr>
      <vt:lpstr>Income</vt:lpstr>
      <vt:lpstr>YTD BUDGET SUMMARY</vt:lpstr>
      <vt:lpstr>MONTHLY EXPENSES SUMMARY</vt:lpstr>
      <vt:lpstr>_YEAR</vt:lpstr>
      <vt:lpstr>'Cash Book'!Print_Area</vt:lpstr>
      <vt:lpstr>Income!Print_Area</vt:lpstr>
      <vt:lpstr>'MONTHLY EXPENSES SUMMARY'!Print_Area</vt:lpstr>
      <vt:lpstr>'YTD BUDGET SUMMARY'!Print_Area</vt:lpstr>
      <vt:lpstr>'Cash Book'!Print_Titles</vt:lpstr>
      <vt:lpstr>Income!Print_Titles</vt:lpstr>
      <vt:lpstr>'MONTHLY EXPENSES SUMMARY'!Print_Titles</vt:lpstr>
      <vt:lpstr>'YTD BUDGET SUMMARY'!Print_Titles</vt:lpstr>
      <vt:lpstr>RowTitleRegion1..G2</vt:lpstr>
      <vt:lpstr>Title1</vt:lpstr>
      <vt:lpstr>Title3</vt:lpstr>
      <vt:lpstr>Title4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2018-08-24T05:45:23Z</dcterms:created>
  <dcterms:modified xsi:type="dcterms:W3CDTF">2025-07-04T10:38:14Z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